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Main Admin\Downloads\"/>
    </mc:Choice>
  </mc:AlternateContent>
  <xr:revisionPtr revIDLastSave="0" documentId="13_ncr:1_{8CECF2A8-8334-4EEB-BF17-04D800DFA075}" xr6:coauthVersionLast="47" xr6:coauthVersionMax="47" xr10:uidLastSave="{00000000-0000-0000-0000-000000000000}"/>
  <bookViews>
    <workbookView xWindow="-108" yWindow="-108" windowWidth="23256" windowHeight="12456" xr2:uid="{00000000-000D-0000-FFFF-FFFF00000000}"/>
  </bookViews>
  <sheets>
    <sheet name="Assumptions" sheetId="1" r:id="rId1"/>
    <sheet name="36-month forecast" sheetId="2" r:id="rId2"/>
    <sheet name="Impact Tracker" sheetId="3" r:id="rId3"/>
    <sheet name="5-year projection" sheetId="4" r:id="rId4"/>
    <sheet name="NOT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E9" i="3"/>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C9" i="3"/>
  <c r="I4" i="3"/>
  <c r="V5" i="3"/>
  <c r="W5" i="3"/>
  <c r="X5" i="3"/>
  <c r="Y5" i="3"/>
  <c r="Z5" i="3"/>
  <c r="AA5" i="3"/>
  <c r="AB5" i="3"/>
  <c r="AC5" i="3"/>
  <c r="AD5" i="3"/>
  <c r="AE5" i="3"/>
  <c r="AF5" i="3"/>
  <c r="AG5" i="3"/>
  <c r="AH5" i="3"/>
  <c r="AI5" i="3"/>
  <c r="AJ5" i="3"/>
  <c r="AK5" i="3"/>
  <c r="AL5" i="3"/>
  <c r="U5" i="3"/>
  <c r="T5" i="3"/>
  <c r="I5" i="3"/>
  <c r="J5" i="3"/>
  <c r="L5" i="3"/>
  <c r="M5" i="3"/>
  <c r="N5" i="3"/>
  <c r="O5" i="3"/>
  <c r="P5" i="3"/>
  <c r="Q5" i="3"/>
  <c r="R5" i="3"/>
  <c r="S5" i="3"/>
  <c r="K5" i="3"/>
  <c r="D5" i="3"/>
  <c r="E5" i="3"/>
  <c r="F5" i="3"/>
  <c r="G5" i="3"/>
  <c r="H5" i="3"/>
  <c r="C5" i="3"/>
  <c r="C4" i="3"/>
  <c r="D6" i="3"/>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L6" i="3"/>
  <c r="C6" i="3"/>
  <c r="D4" i="3"/>
  <c r="E4" i="3"/>
  <c r="F4" i="3"/>
  <c r="G4" i="3"/>
  <c r="H4" i="3"/>
  <c r="J4" i="3"/>
  <c r="K4" i="3"/>
  <c r="L4" i="3"/>
  <c r="M4" i="3"/>
  <c r="N4" i="3"/>
  <c r="O4" i="3"/>
  <c r="P4" i="3"/>
  <c r="Q4" i="3"/>
  <c r="R4" i="3"/>
  <c r="S4" i="3"/>
  <c r="T4" i="3"/>
  <c r="U4" i="3"/>
  <c r="V4" i="3"/>
  <c r="W4" i="3"/>
  <c r="X4" i="3"/>
  <c r="Y4" i="3"/>
  <c r="Z4" i="3"/>
  <c r="AA4" i="3"/>
  <c r="AB4" i="3"/>
  <c r="AC4" i="3"/>
  <c r="AD4" i="3"/>
  <c r="AE4" i="3"/>
  <c r="AF4" i="3"/>
  <c r="AG4" i="3"/>
  <c r="AH4" i="3"/>
  <c r="AI4" i="3"/>
  <c r="AJ4" i="3"/>
  <c r="AK4" i="3"/>
  <c r="AL4" i="3"/>
  <c r="D24" i="1"/>
  <c r="S17" i="2" s="1"/>
  <c r="E24" i="1"/>
  <c r="Z17" i="2" s="1"/>
  <c r="C24" i="1"/>
  <c r="G17" i="2" s="1"/>
  <c r="M17" i="2"/>
  <c r="O17" i="2"/>
  <c r="P17" i="2"/>
  <c r="Q17" i="2"/>
  <c r="R17" i="2"/>
  <c r="V16" i="2"/>
  <c r="W16" i="2"/>
  <c r="X16" i="2"/>
  <c r="Y16" i="2"/>
  <c r="Z16" i="2"/>
  <c r="AA16" i="2"/>
  <c r="AB16" i="2"/>
  <c r="AC16" i="2"/>
  <c r="AD16" i="2"/>
  <c r="AE16" i="2"/>
  <c r="AF16" i="2"/>
  <c r="AG16" i="2"/>
  <c r="AH16" i="2"/>
  <c r="AI16" i="2"/>
  <c r="AJ16" i="2"/>
  <c r="AK16" i="2"/>
  <c r="AL16" i="2"/>
  <c r="U16" i="2"/>
  <c r="L16" i="2"/>
  <c r="M16" i="2"/>
  <c r="N16" i="2"/>
  <c r="O16" i="2"/>
  <c r="P16" i="2"/>
  <c r="Q16" i="2"/>
  <c r="R16" i="2"/>
  <c r="S16" i="2"/>
  <c r="T16" i="2"/>
  <c r="K16" i="2"/>
  <c r="C16" i="2"/>
  <c r="D16" i="2"/>
  <c r="E16" i="2"/>
  <c r="F16" i="2"/>
  <c r="G16" i="2"/>
  <c r="H16" i="2"/>
  <c r="I16" i="2"/>
  <c r="J16" i="2"/>
  <c r="V15" i="2"/>
  <c r="W15" i="2"/>
  <c r="X15" i="2"/>
  <c r="Y15" i="2"/>
  <c r="Z15" i="2"/>
  <c r="AA15" i="2"/>
  <c r="AB15" i="2"/>
  <c r="AC15" i="2"/>
  <c r="AD15" i="2"/>
  <c r="AE15" i="2"/>
  <c r="AF15" i="2"/>
  <c r="AG15" i="2"/>
  <c r="AH15" i="2"/>
  <c r="AI15" i="2"/>
  <c r="AJ15" i="2"/>
  <c r="AK15" i="2"/>
  <c r="AL15" i="2"/>
  <c r="U15" i="2"/>
  <c r="K15" i="2"/>
  <c r="L15" i="2"/>
  <c r="M15" i="2"/>
  <c r="N15" i="2"/>
  <c r="O15" i="2"/>
  <c r="P15" i="2"/>
  <c r="Q15" i="2"/>
  <c r="R15" i="2"/>
  <c r="S15" i="2"/>
  <c r="T15" i="2"/>
  <c r="D15" i="2"/>
  <c r="E15" i="2"/>
  <c r="F15" i="2"/>
  <c r="G15" i="2"/>
  <c r="H15" i="2"/>
  <c r="I15" i="2"/>
  <c r="J15" i="2"/>
  <c r="C15" i="2"/>
  <c r="C5" i="2"/>
  <c r="C6" i="2" s="1"/>
  <c r="C7" i="2"/>
  <c r="D7" i="2" s="1"/>
  <c r="D7" i="3" s="1"/>
  <c r="D8" i="3" s="1"/>
  <c r="L17" i="2" l="1"/>
  <c r="K17" i="2"/>
  <c r="T17" i="2"/>
  <c r="N17" i="2"/>
  <c r="X17" i="2"/>
  <c r="V17" i="2"/>
  <c r="AH17" i="2"/>
  <c r="AG17" i="2"/>
  <c r="AF17" i="2"/>
  <c r="AE17" i="2"/>
  <c r="Y17" i="2"/>
  <c r="W17" i="2"/>
  <c r="AL17" i="2"/>
  <c r="AK17" i="2"/>
  <c r="AA17" i="2"/>
  <c r="AJ17" i="2"/>
  <c r="AI17" i="2"/>
  <c r="AD17" i="2"/>
  <c r="AB17" i="2"/>
  <c r="AC17" i="2"/>
  <c r="U17" i="2"/>
  <c r="E17" i="2"/>
  <c r="F17" i="2"/>
  <c r="D17" i="2"/>
  <c r="I17" i="2"/>
  <c r="C17" i="2"/>
  <c r="J17" i="2"/>
  <c r="H17" i="2"/>
  <c r="C14" i="4"/>
  <c r="C7" i="3"/>
  <c r="F27" i="2"/>
  <c r="C6" i="4"/>
  <c r="E14" i="4"/>
  <c r="F14" i="4" s="1"/>
  <c r="G14" i="4" s="1"/>
  <c r="C15" i="4"/>
  <c r="D15" i="4"/>
  <c r="E15" i="4"/>
  <c r="F15" i="4" s="1"/>
  <c r="G15" i="4" s="1"/>
  <c r="D14" i="4"/>
  <c r="E7" i="2"/>
  <c r="E7" i="3" s="1"/>
  <c r="E8" i="3" s="1"/>
  <c r="D8" i="2"/>
  <c r="C8" i="2"/>
  <c r="D4" i="2"/>
  <c r="D5" i="2" s="1"/>
  <c r="D16" i="4" l="1"/>
  <c r="E16" i="4"/>
  <c r="F16" i="4" s="1"/>
  <c r="G16" i="4" s="1"/>
  <c r="C16" i="4"/>
  <c r="C8" i="3"/>
  <c r="C12" i="2"/>
  <c r="C14" i="2"/>
  <c r="C18" i="2" s="1"/>
  <c r="D14" i="2"/>
  <c r="D18" i="2" s="1"/>
  <c r="D12" i="2"/>
  <c r="D6" i="2"/>
  <c r="E4" i="2"/>
  <c r="C9" i="2"/>
  <c r="C11" i="2"/>
  <c r="D11" i="2"/>
  <c r="D9" i="2"/>
  <c r="D10" i="2" s="1"/>
  <c r="F7" i="2"/>
  <c r="F7" i="3" s="1"/>
  <c r="F8" i="3" s="1"/>
  <c r="E8" i="2"/>
  <c r="C10" i="2" l="1"/>
  <c r="C13" i="2" s="1"/>
  <c r="E5" i="2"/>
  <c r="F4" i="2" s="1"/>
  <c r="F5" i="2" s="1"/>
  <c r="G4" i="2" s="1"/>
  <c r="G5" i="2" s="1"/>
  <c r="D13" i="2"/>
  <c r="D19" i="2" s="1"/>
  <c r="E14" i="2"/>
  <c r="E18" i="2" s="1"/>
  <c r="E12" i="2"/>
  <c r="E11" i="2"/>
  <c r="E9" i="2"/>
  <c r="E10" i="2" s="1"/>
  <c r="G7" i="2"/>
  <c r="G7" i="3" s="1"/>
  <c r="G8" i="3" s="1"/>
  <c r="F8" i="2"/>
  <c r="C19" i="2" l="1"/>
  <c r="C20" i="2" s="1"/>
  <c r="C21" i="2" s="1"/>
  <c r="E13" i="2"/>
  <c r="E19" i="2" s="1"/>
  <c r="D20" i="2"/>
  <c r="D21" i="2" s="1"/>
  <c r="E6" i="2"/>
  <c r="F14" i="2"/>
  <c r="F18" i="2" s="1"/>
  <c r="F12" i="2"/>
  <c r="F6" i="2"/>
  <c r="H4" i="2"/>
  <c r="H5" i="2" s="1"/>
  <c r="H7" i="2"/>
  <c r="H7" i="3" s="1"/>
  <c r="H8" i="3" s="1"/>
  <c r="G8" i="2"/>
  <c r="F9" i="2"/>
  <c r="F11" i="2"/>
  <c r="F10" i="2" l="1"/>
  <c r="F13" i="2" s="1"/>
  <c r="F19" i="2" s="1"/>
  <c r="G14" i="2"/>
  <c r="G18" i="2" s="1"/>
  <c r="G12" i="2"/>
  <c r="G6" i="2"/>
  <c r="I4" i="2"/>
  <c r="I5" i="2" s="1"/>
  <c r="G11" i="2"/>
  <c r="G9" i="2"/>
  <c r="G10" i="2" s="1"/>
  <c r="I7" i="2"/>
  <c r="I7" i="3" s="1"/>
  <c r="I8" i="3" s="1"/>
  <c r="H8" i="2"/>
  <c r="F20" i="2" l="1"/>
  <c r="F21" i="2" s="1"/>
  <c r="E20" i="2"/>
  <c r="E21" i="2" s="1"/>
  <c r="G13" i="2"/>
  <c r="G19" i="2" s="1"/>
  <c r="H14" i="2"/>
  <c r="H18" i="2" s="1"/>
  <c r="H12" i="2"/>
  <c r="H6" i="2"/>
  <c r="H11" i="2"/>
  <c r="H9" i="2"/>
  <c r="J7" i="2"/>
  <c r="J7" i="3" s="1"/>
  <c r="J8" i="3" s="1"/>
  <c r="I8" i="2"/>
  <c r="J4" i="2"/>
  <c r="J5" i="2" s="1"/>
  <c r="G20" i="2" l="1"/>
  <c r="G21" i="2" s="1"/>
  <c r="H10" i="2"/>
  <c r="I14" i="2"/>
  <c r="I18" i="2" s="1"/>
  <c r="I12" i="2"/>
  <c r="I6" i="2"/>
  <c r="K4" i="2"/>
  <c r="K5" i="2" s="1"/>
  <c r="K7" i="2"/>
  <c r="K7" i="3" s="1"/>
  <c r="K8" i="3" s="1"/>
  <c r="J8" i="2"/>
  <c r="I11" i="2"/>
  <c r="I9" i="2"/>
  <c r="I10" i="2" s="1"/>
  <c r="H13" i="2" l="1"/>
  <c r="I13" i="2"/>
  <c r="I19" i="2" s="1"/>
  <c r="I20" i="2" s="1"/>
  <c r="I21" i="2" s="1"/>
  <c r="J14" i="2"/>
  <c r="J18" i="2" s="1"/>
  <c r="J12" i="2"/>
  <c r="J6" i="2"/>
  <c r="D5" i="1"/>
  <c r="J11" i="2"/>
  <c r="J9" i="2"/>
  <c r="L7" i="2"/>
  <c r="L7" i="3" s="1"/>
  <c r="L8" i="3" s="1"/>
  <c r="K8" i="2"/>
  <c r="H19" i="2" l="1"/>
  <c r="H20" i="2" s="1"/>
  <c r="H21" i="2" s="1"/>
  <c r="J10" i="2"/>
  <c r="J13" i="2" s="1"/>
  <c r="J19" i="2" s="1"/>
  <c r="J20" i="2" s="1"/>
  <c r="J21" i="2" s="1"/>
  <c r="K12" i="2"/>
  <c r="K14" i="2"/>
  <c r="K18" i="2" s="1"/>
  <c r="L4" i="2"/>
  <c r="L5" i="2" s="1"/>
  <c r="K11" i="2"/>
  <c r="K9" i="2"/>
  <c r="K10" i="2" s="1"/>
  <c r="M7" i="2"/>
  <c r="M7" i="3" s="1"/>
  <c r="M8" i="3" s="1"/>
  <c r="L8" i="2"/>
  <c r="K13" i="2" l="1"/>
  <c r="K19" i="2" s="1"/>
  <c r="L14" i="2"/>
  <c r="L18" i="2" s="1"/>
  <c r="L12" i="2"/>
  <c r="K6" i="2"/>
  <c r="M4" i="2"/>
  <c r="M5" i="2" s="1"/>
  <c r="N7" i="2"/>
  <c r="M8" i="2"/>
  <c r="L11" i="2"/>
  <c r="L9" i="2"/>
  <c r="L10" i="2" s="1"/>
  <c r="D6" i="4" l="1"/>
  <c r="N7" i="3"/>
  <c r="N8" i="3" s="1"/>
  <c r="L13" i="2"/>
  <c r="L19" i="2" s="1"/>
  <c r="M14" i="2"/>
  <c r="M18" i="2" s="1"/>
  <c r="M12" i="2"/>
  <c r="K20" i="2"/>
  <c r="K21" i="2" s="1"/>
  <c r="L6" i="2"/>
  <c r="N4" i="2"/>
  <c r="N5" i="2" s="1"/>
  <c r="M11" i="2"/>
  <c r="M9" i="2"/>
  <c r="M10" i="2" s="1"/>
  <c r="O7" i="2"/>
  <c r="O7" i="3" s="1"/>
  <c r="O8" i="3" s="1"/>
  <c r="N8" i="2"/>
  <c r="C7" i="4" s="1"/>
  <c r="M13" i="2" l="1"/>
  <c r="M19" i="2" s="1"/>
  <c r="L20" i="2"/>
  <c r="L21" i="2" s="1"/>
  <c r="N14" i="2"/>
  <c r="N12" i="2"/>
  <c r="C11" i="4" s="1"/>
  <c r="M6" i="2"/>
  <c r="N11" i="2"/>
  <c r="C10" i="4" s="1"/>
  <c r="N9" i="2"/>
  <c r="P7" i="2"/>
  <c r="P7" i="3" s="1"/>
  <c r="P8" i="3" s="1"/>
  <c r="O8" i="2"/>
  <c r="M20" i="2" l="1"/>
  <c r="M21" i="2" s="1"/>
  <c r="C13" i="4"/>
  <c r="C17" i="4" s="1"/>
  <c r="N18" i="2"/>
  <c r="N10" i="2"/>
  <c r="C8" i="4"/>
  <c r="O14" i="2"/>
  <c r="O18" i="2" s="1"/>
  <c r="O12" i="2"/>
  <c r="Q7" i="2"/>
  <c r="Q7" i="3" s="1"/>
  <c r="Q8" i="3" s="1"/>
  <c r="P8" i="2"/>
  <c r="O11" i="2"/>
  <c r="O9" i="2"/>
  <c r="N13" i="2" l="1"/>
  <c r="N19" i="2" s="1"/>
  <c r="C9" i="4"/>
  <c r="C12" i="4" s="1"/>
  <c r="C18" i="4" s="1"/>
  <c r="C19" i="4" s="1"/>
  <c r="C20" i="4" s="1"/>
  <c r="O10" i="2"/>
  <c r="P14" i="2"/>
  <c r="P18" i="2" s="1"/>
  <c r="P12" i="2"/>
  <c r="C5" i="4"/>
  <c r="O4" i="2"/>
  <c r="O5" i="2" s="1"/>
  <c r="N6" i="2"/>
  <c r="R7" i="2"/>
  <c r="R7" i="3" s="1"/>
  <c r="R8" i="3" s="1"/>
  <c r="Q8" i="2"/>
  <c r="P9" i="2"/>
  <c r="P10" i="2" s="1"/>
  <c r="P11" i="2"/>
  <c r="N20" i="2" l="1"/>
  <c r="N21" i="2" s="1"/>
  <c r="O13" i="2"/>
  <c r="O19" i="2" s="1"/>
  <c r="P13" i="2"/>
  <c r="P19" i="2" s="1"/>
  <c r="Q14" i="2"/>
  <c r="Q18" i="2" s="1"/>
  <c r="Q12" i="2"/>
  <c r="P4" i="2"/>
  <c r="P5" i="2" s="1"/>
  <c r="O6" i="2"/>
  <c r="Q9" i="2"/>
  <c r="Q11" i="2"/>
  <c r="S7" i="2"/>
  <c r="S7" i="3" s="1"/>
  <c r="S8" i="3" s="1"/>
  <c r="R8" i="2"/>
  <c r="O20" i="2" l="1"/>
  <c r="O21" i="2" s="1"/>
  <c r="Q10" i="2"/>
  <c r="R12" i="2"/>
  <c r="R14" i="2"/>
  <c r="R18" i="2" s="1"/>
  <c r="Q4" i="2"/>
  <c r="Q5" i="2" s="1"/>
  <c r="P6" i="2"/>
  <c r="P20" i="2" s="1"/>
  <c r="P21" i="2" s="1"/>
  <c r="R11" i="2"/>
  <c r="R9" i="2"/>
  <c r="R10" i="2" s="1"/>
  <c r="T7" i="2"/>
  <c r="T7" i="3" s="1"/>
  <c r="T8" i="3" s="1"/>
  <c r="S8" i="2"/>
  <c r="R13" i="2" l="1"/>
  <c r="R19" i="2" s="1"/>
  <c r="Q13" i="2"/>
  <c r="Q19" i="2" s="1"/>
  <c r="S14" i="2"/>
  <c r="S18" i="2" s="1"/>
  <c r="S12" i="2"/>
  <c r="R4" i="2"/>
  <c r="R5" i="2" s="1"/>
  <c r="S9" i="2"/>
  <c r="S11" i="2"/>
  <c r="U7" i="2"/>
  <c r="U7" i="3" s="1"/>
  <c r="U8" i="3" s="1"/>
  <c r="T8" i="2"/>
  <c r="S10" i="2" l="1"/>
  <c r="S13" i="2" s="1"/>
  <c r="S19" i="2" s="1"/>
  <c r="T14" i="2"/>
  <c r="T18" i="2" s="1"/>
  <c r="T12" i="2"/>
  <c r="S4" i="2"/>
  <c r="S5" i="2" s="1"/>
  <c r="Q6" i="2"/>
  <c r="Q20" i="2" s="1"/>
  <c r="Q21" i="2" s="1"/>
  <c r="V7" i="2"/>
  <c r="V7" i="3" s="1"/>
  <c r="V8" i="3" s="1"/>
  <c r="U8" i="2"/>
  <c r="T11" i="2"/>
  <c r="T9" i="2"/>
  <c r="T10" i="2" s="1"/>
  <c r="T13" i="2" l="1"/>
  <c r="T19" i="2" s="1"/>
  <c r="U14" i="2"/>
  <c r="U18" i="2" s="1"/>
  <c r="U12" i="2"/>
  <c r="T4" i="2"/>
  <c r="T5" i="2" s="1"/>
  <c r="R6" i="2"/>
  <c r="R20" i="2" s="1"/>
  <c r="R21" i="2" s="1"/>
  <c r="U11" i="2"/>
  <c r="U9" i="2"/>
  <c r="W7" i="2"/>
  <c r="W7" i="3" s="1"/>
  <c r="W8" i="3" s="1"/>
  <c r="V8" i="2"/>
  <c r="U10" i="2" l="1"/>
  <c r="V14" i="2"/>
  <c r="V18" i="2" s="1"/>
  <c r="V12" i="2"/>
  <c r="T6" i="2"/>
  <c r="U4" i="2"/>
  <c r="U5" i="2" s="1"/>
  <c r="S6" i="2"/>
  <c r="S20" i="2" s="1"/>
  <c r="S21" i="2" s="1"/>
  <c r="X7" i="2"/>
  <c r="X7" i="3" s="1"/>
  <c r="X8" i="3" s="1"/>
  <c r="W8" i="2"/>
  <c r="V11" i="2"/>
  <c r="V9" i="2"/>
  <c r="V10" i="2" s="1"/>
  <c r="U13" i="2" l="1"/>
  <c r="U19" i="2" s="1"/>
  <c r="F26" i="2"/>
  <c r="T20" i="2"/>
  <c r="T21" i="2" s="1"/>
  <c r="V13" i="2"/>
  <c r="V19" i="2" s="1"/>
  <c r="W12" i="2"/>
  <c r="W14" i="2"/>
  <c r="W18" i="2" s="1"/>
  <c r="V4" i="2"/>
  <c r="V5" i="2" s="1"/>
  <c r="E5" i="1"/>
  <c r="W11" i="2"/>
  <c r="W9" i="2"/>
  <c r="Y7" i="2"/>
  <c r="Y7" i="3" s="1"/>
  <c r="Y8" i="3" s="1"/>
  <c r="X8" i="2"/>
  <c r="W10" i="2" l="1"/>
  <c r="W13" i="2" s="1"/>
  <c r="W19" i="2" s="1"/>
  <c r="X14" i="2"/>
  <c r="X18" i="2" s="1"/>
  <c r="X12" i="2"/>
  <c r="U6" i="2"/>
  <c r="U20" i="2" s="1"/>
  <c r="U21" i="2" s="1"/>
  <c r="W4" i="2"/>
  <c r="W5" i="2" s="1"/>
  <c r="X9" i="2"/>
  <c r="X10" i="2" s="1"/>
  <c r="X11" i="2"/>
  <c r="Z7" i="2"/>
  <c r="Z7" i="3" s="1"/>
  <c r="Z8" i="3" s="1"/>
  <c r="Y8" i="2"/>
  <c r="X13" i="2" l="1"/>
  <c r="X19" i="2" s="1"/>
  <c r="Y12" i="2"/>
  <c r="Y14" i="2"/>
  <c r="Y18" i="2" s="1"/>
  <c r="X4" i="2"/>
  <c r="X5" i="2" s="1"/>
  <c r="V6" i="2"/>
  <c r="V20" i="2" s="1"/>
  <c r="V21" i="2" s="1"/>
  <c r="Y11" i="2"/>
  <c r="Y9" i="2"/>
  <c r="Y10" i="2" s="1"/>
  <c r="AA7" i="2"/>
  <c r="AA7" i="3" s="1"/>
  <c r="AA8" i="3" s="1"/>
  <c r="Z8" i="2"/>
  <c r="D7" i="4" s="1"/>
  <c r="Y13" i="2" l="1"/>
  <c r="Y19" i="2" s="1"/>
  <c r="Z12" i="2"/>
  <c r="D11" i="4" s="1"/>
  <c r="Z14" i="2"/>
  <c r="Z18" i="2" s="1"/>
  <c r="Y4" i="2"/>
  <c r="Y5" i="2" s="1"/>
  <c r="W6" i="2"/>
  <c r="W20" i="2" s="1"/>
  <c r="W21" i="2" s="1"/>
  <c r="Z11" i="2"/>
  <c r="D10" i="4" s="1"/>
  <c r="Z9" i="2"/>
  <c r="AB7" i="2"/>
  <c r="AB7" i="3" s="1"/>
  <c r="AB8" i="3" s="1"/>
  <c r="AA8" i="2"/>
  <c r="Z10" i="2" l="1"/>
  <c r="D8" i="4"/>
  <c r="D13" i="4"/>
  <c r="D17" i="4" s="1"/>
  <c r="AA12" i="2"/>
  <c r="AA14" i="2"/>
  <c r="AA18" i="2" s="1"/>
  <c r="X6" i="2"/>
  <c r="X20" i="2" s="1"/>
  <c r="X21" i="2" s="1"/>
  <c r="Z4" i="2"/>
  <c r="Z5" i="2" s="1"/>
  <c r="AA11" i="2"/>
  <c r="AA9" i="2"/>
  <c r="AC7" i="2"/>
  <c r="AC7" i="3" s="1"/>
  <c r="AC8" i="3" s="1"/>
  <c r="AB8" i="2"/>
  <c r="AA10" i="2" l="1"/>
  <c r="AA13" i="2" s="1"/>
  <c r="AA19" i="2" s="1"/>
  <c r="Z13" i="2"/>
  <c r="Z19" i="2" s="1"/>
  <c r="D9" i="4"/>
  <c r="D12" i="4" s="1"/>
  <c r="D18" i="4" s="1"/>
  <c r="D19" i="4" s="1"/>
  <c r="D20" i="4" s="1"/>
  <c r="AB14" i="2"/>
  <c r="AB18" i="2" s="1"/>
  <c r="AB12" i="2"/>
  <c r="Y6" i="2"/>
  <c r="Y20" i="2" s="1"/>
  <c r="Y21" i="2" s="1"/>
  <c r="AA4" i="2"/>
  <c r="AA5" i="2" s="1"/>
  <c r="AB11" i="2"/>
  <c r="AB9" i="2"/>
  <c r="AB10" i="2" s="1"/>
  <c r="AD7" i="2"/>
  <c r="AD7" i="3" s="1"/>
  <c r="AD8" i="3" s="1"/>
  <c r="AC8" i="2"/>
  <c r="AB13" i="2" l="1"/>
  <c r="AB19" i="2" s="1"/>
  <c r="AC14" i="2"/>
  <c r="AC18" i="2" s="1"/>
  <c r="AC12" i="2"/>
  <c r="Z6" i="2"/>
  <c r="Z20" i="2" s="1"/>
  <c r="Z21" i="2" s="1"/>
  <c r="AB4" i="2"/>
  <c r="AB5" i="2" s="1"/>
  <c r="AC11" i="2"/>
  <c r="AC9" i="2"/>
  <c r="AC10" i="2" s="1"/>
  <c r="AE7" i="2"/>
  <c r="AE7" i="3" s="1"/>
  <c r="AE8" i="3" s="1"/>
  <c r="AD8" i="2"/>
  <c r="AC13" i="2" l="1"/>
  <c r="AC19" i="2" s="1"/>
  <c r="AD14" i="2"/>
  <c r="AD18" i="2" s="1"/>
  <c r="AD12" i="2"/>
  <c r="AA6" i="2"/>
  <c r="AA20" i="2" s="1"/>
  <c r="AA21" i="2" s="1"/>
  <c r="AD11" i="2"/>
  <c r="AD9" i="2"/>
  <c r="AF7" i="2"/>
  <c r="AF7" i="3" s="1"/>
  <c r="AF8" i="3" s="1"/>
  <c r="AE8" i="2"/>
  <c r="AD10" i="2" l="1"/>
  <c r="AE14" i="2"/>
  <c r="AE18" i="2" s="1"/>
  <c r="AE12" i="2"/>
  <c r="D5" i="4"/>
  <c r="AC4" i="2"/>
  <c r="AC5" i="2" s="1"/>
  <c r="AE11" i="2"/>
  <c r="AE9" i="2"/>
  <c r="AE10" i="2" s="1"/>
  <c r="AG7" i="2"/>
  <c r="AG7" i="3" s="1"/>
  <c r="AG8" i="3" s="1"/>
  <c r="AF8" i="2"/>
  <c r="AE13" i="2" l="1"/>
  <c r="AE19" i="2" s="1"/>
  <c r="AD13" i="2"/>
  <c r="AD19" i="2" s="1"/>
  <c r="AF12" i="2"/>
  <c r="AF14" i="2"/>
  <c r="AF18" i="2" s="1"/>
  <c r="AB6" i="2"/>
  <c r="AB20" i="2" s="1"/>
  <c r="AB21" i="2" s="1"/>
  <c r="AD4" i="2"/>
  <c r="AD5" i="2" s="1"/>
  <c r="AH7" i="2"/>
  <c r="AH7" i="3" s="1"/>
  <c r="AH8" i="3" s="1"/>
  <c r="AG8" i="2"/>
  <c r="AF11" i="2"/>
  <c r="AF9" i="2"/>
  <c r="AF10" i="2" s="1"/>
  <c r="AF13" i="2" l="1"/>
  <c r="AF19" i="2" s="1"/>
  <c r="AG14" i="2"/>
  <c r="AG18" i="2" s="1"/>
  <c r="AG12" i="2"/>
  <c r="AC6" i="2"/>
  <c r="AC20" i="2" s="1"/>
  <c r="AC21" i="2" s="1"/>
  <c r="AE4" i="2"/>
  <c r="AE5" i="2" s="1"/>
  <c r="AG9" i="2"/>
  <c r="AG10" i="2" s="1"/>
  <c r="AG11" i="2"/>
  <c r="AI7" i="2"/>
  <c r="AI7" i="3" s="1"/>
  <c r="AI8" i="3" s="1"/>
  <c r="AH8" i="2"/>
  <c r="AH14" i="2" l="1"/>
  <c r="AH18" i="2" s="1"/>
  <c r="AH12" i="2"/>
  <c r="AG13" i="2"/>
  <c r="AG19" i="2" s="1"/>
  <c r="AD6" i="2"/>
  <c r="AH11" i="2"/>
  <c r="AH9" i="2"/>
  <c r="AH10" i="2" s="1"/>
  <c r="AJ7" i="2"/>
  <c r="AJ7" i="3" s="1"/>
  <c r="AJ8" i="3" s="1"/>
  <c r="AI8" i="2"/>
  <c r="AD20" i="2" l="1"/>
  <c r="AD21" i="2" s="1"/>
  <c r="AI14" i="2"/>
  <c r="AI18" i="2" s="1"/>
  <c r="AI12" i="2"/>
  <c r="AH13" i="2"/>
  <c r="AH19" i="2" s="1"/>
  <c r="AE6" i="2"/>
  <c r="AE20" i="2" s="1"/>
  <c r="AE21" i="2" s="1"/>
  <c r="AI11" i="2"/>
  <c r="AI9" i="2"/>
  <c r="AI10" i="2" s="1"/>
  <c r="AK7" i="2"/>
  <c r="AK7" i="3" s="1"/>
  <c r="AK8" i="3" s="1"/>
  <c r="AJ8" i="2"/>
  <c r="AJ12" i="2" l="1"/>
  <c r="AJ14" i="2"/>
  <c r="AJ18" i="2" s="1"/>
  <c r="AI13" i="2"/>
  <c r="AI19" i="2" s="1"/>
  <c r="AF4" i="2"/>
  <c r="AF5" i="2" s="1"/>
  <c r="AJ11" i="2"/>
  <c r="AJ9" i="2"/>
  <c r="AJ10" i="2" s="1"/>
  <c r="AL7" i="2"/>
  <c r="AL7" i="3" s="1"/>
  <c r="AK8" i="2"/>
  <c r="AL8" i="3" l="1"/>
  <c r="AJ13" i="2"/>
  <c r="AJ19" i="2" s="1"/>
  <c r="AK12" i="2"/>
  <c r="AK14" i="2"/>
  <c r="AK18" i="2" s="1"/>
  <c r="AL8" i="2"/>
  <c r="E7" i="4" s="1"/>
  <c r="F7" i="4" s="1"/>
  <c r="G7" i="4" s="1"/>
  <c r="E6" i="4"/>
  <c r="F6" i="4" s="1"/>
  <c r="G6" i="4" s="1"/>
  <c r="AF6" i="2"/>
  <c r="AF20" i="2" s="1"/>
  <c r="AF21" i="2" s="1"/>
  <c r="AK11" i="2"/>
  <c r="AK9" i="2"/>
  <c r="AK10" i="2" s="1"/>
  <c r="AK13" i="2" s="1"/>
  <c r="AL11" i="2" l="1"/>
  <c r="E10" i="4" s="1"/>
  <c r="F10" i="4" s="1"/>
  <c r="G10" i="4" s="1"/>
  <c r="AK19" i="2"/>
  <c r="AL9" i="2"/>
  <c r="AL12" i="2"/>
  <c r="AL14" i="2"/>
  <c r="AL18" i="2" s="1"/>
  <c r="AG4" i="2"/>
  <c r="E11" i="4" l="1"/>
  <c r="F11" i="4" s="1"/>
  <c r="AL10" i="2"/>
  <c r="E9" i="4" s="1"/>
  <c r="F9" i="4" s="1"/>
  <c r="G9" i="4" s="1"/>
  <c r="E8" i="4"/>
  <c r="F8" i="4" s="1"/>
  <c r="G8" i="4" s="1"/>
  <c r="E13" i="4"/>
  <c r="AG5" i="2"/>
  <c r="AH4" i="2" s="1"/>
  <c r="E17" i="4" l="1"/>
  <c r="F13" i="4"/>
  <c r="F12" i="4"/>
  <c r="G11" i="4"/>
  <c r="G12" i="4" s="1"/>
  <c r="E12" i="4"/>
  <c r="AL13" i="2"/>
  <c r="AL19" i="2" s="1"/>
  <c r="AG6" i="2"/>
  <c r="AG20" i="2" s="1"/>
  <c r="AG21" i="2" s="1"/>
  <c r="AH5" i="2"/>
  <c r="AI4" i="2" s="1"/>
  <c r="E18" i="4" l="1"/>
  <c r="E19" i="4" s="1"/>
  <c r="E20" i="4" s="1"/>
  <c r="F17" i="4"/>
  <c r="F18" i="4" s="1"/>
  <c r="F19" i="4" s="1"/>
  <c r="F20" i="4" s="1"/>
  <c r="G13" i="4"/>
  <c r="G17" i="4" s="1"/>
  <c r="G18" i="4" s="1"/>
  <c r="G19" i="4" s="1"/>
  <c r="G20" i="4" s="1"/>
  <c r="AI5" i="2"/>
  <c r="AJ4" i="2" s="1"/>
  <c r="AJ5" i="2" s="1"/>
  <c r="AH6" i="2"/>
  <c r="AH20" i="2" s="1"/>
  <c r="AH21" i="2" s="1"/>
  <c r="H20" i="4" l="1"/>
  <c r="AI6" i="2"/>
  <c r="AI20" i="2" s="1"/>
  <c r="AI21" i="2" s="1"/>
  <c r="AJ6" i="2"/>
  <c r="AJ20" i="2" s="1"/>
  <c r="AJ21" i="2" s="1"/>
  <c r="AK4" i="2"/>
  <c r="AK5" i="2" s="1"/>
  <c r="AK6" i="2" l="1"/>
  <c r="AK20" i="2" s="1"/>
  <c r="AK21" i="2" s="1"/>
  <c r="AL4" i="2"/>
  <c r="AL5" i="2" l="1"/>
  <c r="E5" i="4" s="1"/>
  <c r="F5" i="4" s="1"/>
  <c r="G5" i="4" s="1"/>
  <c r="AL6" i="2" l="1"/>
  <c r="AL20" i="2" s="1"/>
  <c r="AL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Aldo Mendoza Lozano</author>
  </authors>
  <commentList>
    <comment ref="C2" authorId="0" shapeId="0" xr:uid="{638BC432-C277-45CE-86B2-8309810C2263}">
      <text>
        <r>
          <rPr>
            <b/>
            <sz val="9"/>
            <color indexed="81"/>
            <rFont val="Tahoma"/>
            <family val="2"/>
          </rPr>
          <t>Aldo Mendoza Lozano:</t>
        </r>
        <r>
          <rPr>
            <sz val="9"/>
            <color indexed="81"/>
            <rFont val="Tahoma"/>
            <family val="2"/>
          </rPr>
          <t xml:space="preserve">
Currency values are in USD</t>
        </r>
      </text>
    </comment>
  </commentList>
</comments>
</file>

<file path=xl/sharedStrings.xml><?xml version="1.0" encoding="utf-8"?>
<sst xmlns="http://schemas.openxmlformats.org/spreadsheetml/2006/main" count="530" uniqueCount="427">
  <si>
    <t>Metric</t>
  </si>
  <si>
    <t>Justification</t>
  </si>
  <si>
    <t>Initial Users (Month 1)</t>
  </si>
  <si>
    <t>Monthly User Growth Rate</t>
  </si>
  <si>
    <t>Initial Vendors (Month 1)</t>
  </si>
  <si>
    <t>Avg Orders per Vendor per Month</t>
  </si>
  <si>
    <t>Average Order Value (AOV)</t>
  </si>
  <si>
    <t>Commission Rate</t>
  </si>
  <si>
    <t>Delivery Fee per Order</t>
  </si>
  <si>
    <t>Customer Acquisition Cost (CAC)</t>
  </si>
  <si>
    <t>Fulfillment Cost per Order</t>
  </si>
  <si>
    <t>Monthly Platform Costs</t>
  </si>
  <si>
    <t>Monthly Marketing Budget</t>
  </si>
  <si>
    <t>Number of Drivers (Phase 1)</t>
  </si>
  <si>
    <t>Based on manual onboarding and WhatsApp strategy</t>
  </si>
  <si>
    <t>Initial vendor outreach to local verified shops</t>
  </si>
  <si>
    <t>Each vendor processes about 5 orders/week</t>
  </si>
  <si>
    <t>Based on informal market pricing in Kinshasa</t>
  </si>
  <si>
    <t>Midpoint between Jumia and Amazon</t>
  </si>
  <si>
    <t>Affordable delivery via motorbikes</t>
  </si>
  <si>
    <t>Local CPM and conversion assumptions</t>
  </si>
  <si>
    <t>Estimated fuel + labor per delivery</t>
  </si>
  <si>
    <t>Basic infrastructure and platform maintenance</t>
  </si>
  <si>
    <t>Digital &amp; offline outreach and promotions</t>
  </si>
  <si>
    <t>Local tech/admin salaries</t>
  </si>
  <si>
    <t>Lean startup structure</t>
  </si>
  <si>
    <t>Initial delivery capacity with 1 bike per driver</t>
  </si>
  <si>
    <t>Number of Core Team Members (Canada)</t>
  </si>
  <si>
    <t>Net Profit (After Tax)</t>
  </si>
  <si>
    <t>Estimated Tax (15%)</t>
  </si>
  <si>
    <t>Net Profit (Before Tax)</t>
  </si>
  <si>
    <t>Total Cost</t>
  </si>
  <si>
    <t>Salaries</t>
  </si>
  <si>
    <t>Marketing Cost</t>
  </si>
  <si>
    <t>Platform Cost</t>
  </si>
  <si>
    <t>Fulfillment Cost</t>
  </si>
  <si>
    <t>Total Revenue</t>
  </si>
  <si>
    <t>Revenue (Ads)</t>
  </si>
  <si>
    <t>Revenue (Delivery Fees)</t>
  </si>
  <si>
    <t>Revenue (Commission)</t>
  </si>
  <si>
    <t>GMV</t>
  </si>
  <si>
    <t>Orders</t>
  </si>
  <si>
    <t>Vendors</t>
  </si>
  <si>
    <t>CAC Cost</t>
  </si>
  <si>
    <t>New Users</t>
  </si>
  <si>
    <t>Users</t>
  </si>
  <si>
    <t>Month 36</t>
  </si>
  <si>
    <t>Month 35</t>
  </si>
  <si>
    <t>Month 34</t>
  </si>
  <si>
    <t>Month 33</t>
  </si>
  <si>
    <t>Month 32</t>
  </si>
  <si>
    <t>Month 31</t>
  </si>
  <si>
    <t>Month 30</t>
  </si>
  <si>
    <t>Month 29</t>
  </si>
  <si>
    <t>Month 28</t>
  </si>
  <si>
    <t>Month 27</t>
  </si>
  <si>
    <t>Month 26</t>
  </si>
  <si>
    <t>Month 25</t>
  </si>
  <si>
    <t>Month 24</t>
  </si>
  <si>
    <t>Month 23</t>
  </si>
  <si>
    <t>Month 22</t>
  </si>
  <si>
    <t>Month 21</t>
  </si>
  <si>
    <t>Month 20</t>
  </si>
  <si>
    <t>Month 19</t>
  </si>
  <si>
    <t>Month 18</t>
  </si>
  <si>
    <t>Month 17</t>
  </si>
  <si>
    <t>Month 16</t>
  </si>
  <si>
    <t>Month 15</t>
  </si>
  <si>
    <t>Month 14</t>
  </si>
  <si>
    <t>Month 13</t>
  </si>
  <si>
    <t>Month 12</t>
  </si>
  <si>
    <t>Month 11</t>
  </si>
  <si>
    <t>Month 10</t>
  </si>
  <si>
    <t>Month 9</t>
  </si>
  <si>
    <t>Month 8</t>
  </si>
  <si>
    <t>Month 7</t>
  </si>
  <si>
    <t>Month 6</t>
  </si>
  <si>
    <t>Month 5</t>
  </si>
  <si>
    <t>Month 4</t>
  </si>
  <si>
    <t>Month 3</t>
  </si>
  <si>
    <t>Month 2</t>
  </si>
  <si>
    <t>Month 1</t>
  </si>
  <si>
    <t>Jobs Created – Delivery Drivers</t>
  </si>
  <si>
    <t>Jobs Created – Warehouse Staff</t>
  </si>
  <si>
    <t>Local Entrepreneurs Empowered</t>
  </si>
  <si>
    <t>Equal to number of vendors</t>
  </si>
  <si>
    <t>Women-led Vendors (%)</t>
  </si>
  <si>
    <t>Estimate ~30% of vendors are women</t>
  </si>
  <si>
    <t>Youth Employment (%)</t>
  </si>
  <si>
    <t>Estimate ~60% of total jobs created are youth</t>
  </si>
  <si>
    <t xml:space="preserve">	Jobs Created – Customer Support</t>
  </si>
  <si>
    <t>Impact Tracker Assumptions</t>
  </si>
  <si>
    <t>Formula</t>
  </si>
  <si>
    <t>Monthly Forecast Assumptions</t>
  </si>
  <si>
    <t>Value Phase 1</t>
  </si>
  <si>
    <t>Value Phase 2</t>
  </si>
  <si>
    <t>Value Phase 3</t>
  </si>
  <si>
    <t>PHASE I</t>
  </si>
  <si>
    <t>PHASE II</t>
  </si>
  <si>
    <t>PHASE III</t>
  </si>
  <si>
    <t>5 Year Projection</t>
  </si>
  <si>
    <t>Year 1</t>
  </si>
  <si>
    <t>Year 2</t>
  </si>
  <si>
    <t>Year 3</t>
  </si>
  <si>
    <t>Year 4</t>
  </si>
  <si>
    <t>Year 5</t>
  </si>
  <si>
    <t>Estimate for early-stage African market and aggressive Marketing campaign</t>
  </si>
  <si>
    <t>Avg Monthly Salary per Employee (Canada)</t>
  </si>
  <si>
    <t>Avg Monthly Salary per Employee (DRC)</t>
  </si>
  <si>
    <t>Ops, Admin, Support</t>
  </si>
  <si>
    <t>Monthly Vendor Growth Rate</t>
  </si>
  <si>
    <t>Estimate for early-stage African market and active Onboarding campaign</t>
  </si>
  <si>
    <t>Average Ad Revenue per order</t>
  </si>
  <si>
    <t>TOTAL Users</t>
  </si>
  <si>
    <t>TOTAL Vendors</t>
  </si>
  <si>
    <t>TOTAL Orders</t>
  </si>
  <si>
    <t>Ad Subscription model between iWenze and vendors</t>
  </si>
  <si>
    <t>PHASE I and II CAC</t>
  </si>
  <si>
    <t xml:space="preserve">PHASE I and II Marketing </t>
  </si>
  <si>
    <t>1 driver per 600 orders/month</t>
  </si>
  <si>
    <t>📈 5-Year Growth Assumptions – Justification Summary</t>
  </si>
  <si>
    <t>🔹 Revenue Growth</t>
  </si>
  <si>
    <t>Year 4: +40%</t>
  </si>
  <si>
    <r>
      <t xml:space="preserve">Driven by the </t>
    </r>
    <r>
      <rPr>
        <b/>
        <sz val="11"/>
        <color theme="1"/>
        <rFont val="Calibri"/>
        <family val="2"/>
        <scheme val="minor"/>
      </rPr>
      <t>first full year of dual-city operations</t>
    </r>
    <r>
      <rPr>
        <sz val="11"/>
        <color theme="1"/>
        <rFont val="Calibri"/>
        <family val="2"/>
        <scheme val="minor"/>
      </rPr>
      <t xml:space="preserve"> (Kinshasa + Lubumbashi), increased vendor inventory, and the initial impact of </t>
    </r>
    <r>
      <rPr>
        <b/>
        <sz val="11"/>
        <color theme="1"/>
        <rFont val="Calibri"/>
        <family val="2"/>
        <scheme val="minor"/>
      </rPr>
      <t>own product imports</t>
    </r>
    <r>
      <rPr>
        <sz val="11"/>
        <color theme="1"/>
        <rFont val="Calibri"/>
        <family val="2"/>
        <scheme val="minor"/>
      </rPr>
      <t>.</t>
    </r>
  </si>
  <si>
    <t>Year 5: +30%</t>
  </si>
  <si>
    <r>
      <t xml:space="preserve">As the platform matures, we focus on </t>
    </r>
    <r>
      <rPr>
        <b/>
        <sz val="11"/>
        <color theme="1"/>
        <rFont val="Calibri"/>
        <family val="2"/>
        <scheme val="minor"/>
      </rPr>
      <t>scaling existing revenue channels</t>
    </r>
    <r>
      <rPr>
        <sz val="11"/>
        <color theme="1"/>
        <rFont val="Calibri"/>
        <family val="2"/>
        <scheme val="minor"/>
      </rPr>
      <t xml:space="preserve">: commission, delivery, and advertising — while </t>
    </r>
    <r>
      <rPr>
        <b/>
        <sz val="11"/>
        <color theme="1"/>
        <rFont val="Calibri"/>
        <family val="2"/>
        <scheme val="minor"/>
      </rPr>
      <t>own inventory sales</t>
    </r>
    <r>
      <rPr>
        <sz val="11"/>
        <color theme="1"/>
        <rFont val="Calibri"/>
        <family val="2"/>
        <scheme val="minor"/>
      </rPr>
      <t xml:space="preserve"> begin to dominate and improve margins.</t>
    </r>
  </si>
  <si>
    <t>“As iWenze evolves from a vendor-led platform to a hybrid marketplace with imported inventory, revenue growth becomes more controlled and predictable.”</t>
  </si>
  <si>
    <t>🔹 Cost Growth</t>
  </si>
  <si>
    <t>Year 4: +30%</t>
  </si>
  <si>
    <t>Reflects expansion logistics, staffing in Lubumbashi, and early warehouse/inventory management costs.</t>
  </si>
  <si>
    <t>Year 5: +20%</t>
  </si>
  <si>
    <r>
      <t xml:space="preserve">Operational efficiency improves through </t>
    </r>
    <r>
      <rPr>
        <b/>
        <sz val="11"/>
        <color theme="1"/>
        <rFont val="Calibri"/>
        <family val="2"/>
        <scheme val="minor"/>
      </rPr>
      <t>route optimization, stable platform architecture, and better CAC-to-LTV ratios</t>
    </r>
    <r>
      <rPr>
        <sz val="11"/>
        <color theme="1"/>
        <rFont val="Calibri"/>
        <family val="2"/>
        <scheme val="minor"/>
      </rPr>
      <t>.</t>
    </r>
  </si>
  <si>
    <r>
      <t xml:space="preserve">“While costs grow with scale, they grow </t>
    </r>
    <r>
      <rPr>
        <b/>
        <sz val="11"/>
        <color theme="1"/>
        <rFont val="Calibri"/>
        <family val="2"/>
        <scheme val="minor"/>
      </rPr>
      <t>slower than revenue</t>
    </r>
    <r>
      <rPr>
        <sz val="11"/>
        <color theme="1"/>
        <rFont val="Calibri"/>
        <family val="2"/>
        <scheme val="minor"/>
      </rPr>
      <t>, showing improving unit economics and operational leverage.”</t>
    </r>
  </si>
  <si>
    <t>🔹 User Growth</t>
  </si>
  <si>
    <t>Year 4: +25%</t>
  </si>
  <si>
    <r>
      <t xml:space="preserve">Reflects trust-driven adoption and </t>
    </r>
    <r>
      <rPr>
        <b/>
        <sz val="11"/>
        <color theme="1"/>
        <rFont val="Calibri"/>
        <family val="2"/>
        <scheme val="minor"/>
      </rPr>
      <t>network effects</t>
    </r>
    <r>
      <rPr>
        <sz val="11"/>
        <color theme="1"/>
        <rFont val="Calibri"/>
        <family val="2"/>
        <scheme val="minor"/>
      </rPr>
      <t xml:space="preserve"> from both cities, combined with steady marketing.</t>
    </r>
  </si>
  <si>
    <r>
      <t xml:space="preserve">Natural market saturation in Kinshasa begins to show, though </t>
    </r>
    <r>
      <rPr>
        <b/>
        <sz val="11"/>
        <color theme="1"/>
        <rFont val="Calibri"/>
        <family val="2"/>
        <scheme val="minor"/>
      </rPr>
      <t>diaspora engagement</t>
    </r>
    <r>
      <rPr>
        <sz val="11"/>
        <color theme="1"/>
        <rFont val="Calibri"/>
        <family val="2"/>
        <scheme val="minor"/>
      </rPr>
      <t xml:space="preserve"> and product diversity keep user growth steady.</t>
    </r>
  </si>
  <si>
    <t>“User growth remains solid but no longer exponential, as market awareness is established and word-of-mouth drives organic adoption.”</t>
  </si>
  <si>
    <t>🔹 Vendor Growth</t>
  </si>
  <si>
    <t>+10% per year</t>
  </si>
  <si>
    <r>
      <t xml:space="preserve">Vendor acquisition slows by design, as the platform shifts toward </t>
    </r>
    <r>
      <rPr>
        <b/>
        <sz val="11"/>
        <color theme="1"/>
        <rFont val="Calibri"/>
        <family val="2"/>
        <scheme val="minor"/>
      </rPr>
      <t>import-based inventory control</t>
    </r>
    <r>
      <rPr>
        <sz val="11"/>
        <color theme="1"/>
        <rFont val="Calibri"/>
        <family val="2"/>
        <scheme val="minor"/>
      </rPr>
      <t xml:space="preserve"> for better customer experience and fulfillment speed.</t>
    </r>
  </si>
  <si>
    <t>“We strategically reduce reliance on third-party vendors to control product quality, availability, and delivery timelines through direct imports.”</t>
  </si>
  <si>
    <t>✅ 1. What Is "Ad Revenue per Order"?</t>
  </si>
  <si>
    <r>
      <t xml:space="preserve">This metric represents how much you earn </t>
    </r>
    <r>
      <rPr>
        <b/>
        <sz val="11"/>
        <color theme="1"/>
        <rFont val="Calibri"/>
        <family val="2"/>
        <scheme val="minor"/>
      </rPr>
      <t>on average per completed order</t>
    </r>
    <r>
      <rPr>
        <sz val="11"/>
        <color theme="1"/>
        <rFont val="Calibri"/>
        <family val="2"/>
        <scheme val="minor"/>
      </rPr>
      <t xml:space="preserve"> from:</t>
    </r>
  </si>
  <si>
    <t>In-app banners</t>
  </si>
  <si>
    <t>Sponsored listings (like Amazon)</t>
  </si>
  <si>
    <t>Product placements</t>
  </si>
  <si>
    <t>Email/SMS upsells</t>
  </si>
  <si>
    <t>Off-platform affiliate links</t>
  </si>
  <si>
    <r>
      <t xml:space="preserve">For example: a seller or brand pays $5 for 1,000 impressions → your revenue is </t>
    </r>
    <r>
      <rPr>
        <b/>
        <sz val="11"/>
        <color theme="1"/>
        <rFont val="Calibri"/>
        <family val="2"/>
        <scheme val="minor"/>
      </rPr>
      <t>$0.005 per impression</t>
    </r>
    <r>
      <rPr>
        <sz val="11"/>
        <color theme="1"/>
        <rFont val="Calibri"/>
        <family val="2"/>
        <scheme val="minor"/>
      </rPr>
      <t>.</t>
    </r>
  </si>
  <si>
    <t>🔍 2. What’s Reasonable for Early-Stage Marketplaces?</t>
  </si>
  <si>
    <t>Stage</t>
  </si>
  <si>
    <t>Ad Revenue per Order</t>
  </si>
  <si>
    <t>Why</t>
  </si>
  <si>
    <t>MVP / Early</t>
  </si>
  <si>
    <t>$0.01–$0.05</t>
  </si>
  <si>
    <t>Few advertisers, small businesses, limited data targeting</t>
  </si>
  <si>
    <t>Growth (Year 2–3)</t>
  </si>
  <si>
    <t>$0.10–$0.25</t>
  </si>
  <si>
    <t>More merchants promote, better click-through</t>
  </si>
  <si>
    <t>Mature platform</t>
  </si>
  <si>
    <t>$0.50–$1.00</t>
  </si>
  <si>
    <t>If you have high intent traffic, strong vendor competition, and targeting algorithms (like Amazon, Jumia)</t>
  </si>
  <si>
    <r>
      <t>Amazon</t>
    </r>
    <r>
      <rPr>
        <sz val="11"/>
        <color theme="1"/>
        <rFont val="Calibri"/>
        <family val="2"/>
        <scheme val="minor"/>
      </rPr>
      <t xml:space="preserve"> makes ~$0.65–$1.00+ per order in ad revenue, but only after </t>
    </r>
    <r>
      <rPr>
        <b/>
        <sz val="11"/>
        <color theme="1"/>
        <rFont val="Calibri"/>
        <family val="2"/>
        <scheme val="minor"/>
      </rPr>
      <t>years of seller-side optimization and programmatic bidding</t>
    </r>
    <r>
      <rPr>
        <sz val="11"/>
        <color theme="1"/>
        <rFont val="Calibri"/>
        <family val="2"/>
        <scheme val="minor"/>
      </rPr>
      <t>.</t>
    </r>
  </si>
  <si>
    <t>📊 3. Can $1.00 Per Order Be Justified?</t>
  </si>
  <si>
    <t>Only if:</t>
  </si>
  <si>
    <r>
      <t xml:space="preserve">You </t>
    </r>
    <r>
      <rPr>
        <b/>
        <sz val="11"/>
        <color theme="1"/>
        <rFont val="Calibri"/>
        <family val="2"/>
        <scheme val="minor"/>
      </rPr>
      <t>charge vendors for premium placement or top search results</t>
    </r>
  </si>
  <si>
    <r>
      <t xml:space="preserve">You’ve developed </t>
    </r>
    <r>
      <rPr>
        <b/>
        <sz val="11"/>
        <color theme="1"/>
        <rFont val="Calibri"/>
        <family val="2"/>
        <scheme val="minor"/>
      </rPr>
      <t>a full ad platform or bidding system</t>
    </r>
  </si>
  <si>
    <r>
      <t xml:space="preserve">You sell </t>
    </r>
    <r>
      <rPr>
        <b/>
        <sz val="11"/>
        <color theme="1"/>
        <rFont val="Calibri"/>
        <family val="2"/>
        <scheme val="minor"/>
      </rPr>
      <t>high-ticket items</t>
    </r>
    <r>
      <rPr>
        <sz val="11"/>
        <color theme="1"/>
        <rFont val="Calibri"/>
        <family val="2"/>
        <scheme val="minor"/>
      </rPr>
      <t xml:space="preserve"> where visibility is worth more (like electronics)</t>
    </r>
  </si>
  <si>
    <t>But in an early-stage DRC marketplace:</t>
  </si>
  <si>
    <t>Vendors won’t spend $1 just to sell one $15–$20 item</t>
  </si>
  <si>
    <r>
      <t xml:space="preserve">Your </t>
    </r>
    <r>
      <rPr>
        <b/>
        <sz val="11"/>
        <color theme="1"/>
        <rFont val="Calibri"/>
        <family val="2"/>
        <scheme val="minor"/>
      </rPr>
      <t>volume and click-through</t>
    </r>
    <r>
      <rPr>
        <sz val="11"/>
        <color theme="1"/>
        <rFont val="Calibri"/>
        <family val="2"/>
        <scheme val="minor"/>
      </rPr>
      <t xml:space="preserve"> won't justify $1/order until you reach scale</t>
    </r>
  </si>
  <si>
    <r>
      <t xml:space="preserve">🛑 </t>
    </r>
    <r>
      <rPr>
        <b/>
        <sz val="11"/>
        <color theme="1"/>
        <rFont val="Calibri"/>
        <family val="2"/>
        <scheme val="minor"/>
      </rPr>
      <t>Verdict:</t>
    </r>
    <r>
      <rPr>
        <sz val="11"/>
        <color theme="1"/>
        <rFont val="Calibri"/>
        <family val="2"/>
        <scheme val="minor"/>
      </rPr>
      <t xml:space="preserve"> $1.00/order is </t>
    </r>
    <r>
      <rPr>
        <b/>
        <sz val="11"/>
        <color theme="1"/>
        <rFont val="Calibri"/>
        <family val="2"/>
        <scheme val="minor"/>
      </rPr>
      <t>too aggressive for years 1–3</t>
    </r>
  </si>
  <si>
    <r>
      <t xml:space="preserve">✅ Better: Start at </t>
    </r>
    <r>
      <rPr>
        <b/>
        <sz val="11"/>
        <color theme="1"/>
        <rFont val="Calibri"/>
        <family val="2"/>
        <scheme val="minor"/>
      </rPr>
      <t>$0.01/order</t>
    </r>
    <r>
      <rPr>
        <sz val="11"/>
        <color theme="1"/>
        <rFont val="Calibri"/>
        <family val="2"/>
        <scheme val="minor"/>
      </rPr>
      <t xml:space="preserve">, scale to </t>
    </r>
    <r>
      <rPr>
        <b/>
        <sz val="11"/>
        <color theme="1"/>
        <rFont val="Calibri"/>
        <family val="2"/>
        <scheme val="minor"/>
      </rPr>
      <t>$0.10–$0.25</t>
    </r>
    <r>
      <rPr>
        <sz val="11"/>
        <color theme="1"/>
        <rFont val="Calibri"/>
        <family val="2"/>
        <scheme val="minor"/>
      </rPr>
      <t xml:space="preserve"> by year 4–5</t>
    </r>
  </si>
  <si>
    <t>🚀 4. How Can the Ad System Work?</t>
  </si>
  <si>
    <t>Phase 1 (Pilot):</t>
  </si>
  <si>
    <r>
      <t xml:space="preserve">Simple </t>
    </r>
    <r>
      <rPr>
        <b/>
        <sz val="11"/>
        <color theme="1"/>
        <rFont val="Calibri"/>
        <family val="2"/>
        <scheme val="minor"/>
      </rPr>
      <t>flat-fee banners</t>
    </r>
    <r>
      <rPr>
        <sz val="11"/>
        <color theme="1"/>
        <rFont val="Calibri"/>
        <family val="2"/>
        <scheme val="minor"/>
      </rPr>
      <t xml:space="preserve"> or “featured product” spots</t>
    </r>
  </si>
  <si>
    <t>Manual placements (you choose who shows up)</t>
  </si>
  <si>
    <t>Phase 2 (Growth):</t>
  </si>
  <si>
    <r>
      <t xml:space="preserve">Add </t>
    </r>
    <r>
      <rPr>
        <b/>
        <sz val="11"/>
        <color theme="1"/>
        <rFont val="Calibri"/>
        <family val="2"/>
        <scheme val="minor"/>
      </rPr>
      <t>sponsored product listings</t>
    </r>
  </si>
  <si>
    <t>Vendors pay to appear first in a category</t>
  </si>
  <si>
    <t>Flat fees or basic cost-per-click (CPC)</t>
  </si>
  <si>
    <t>Phase 3 (Mature):</t>
  </si>
  <si>
    <r>
      <t xml:space="preserve">Build </t>
    </r>
    <r>
      <rPr>
        <b/>
        <sz val="11"/>
        <color theme="1"/>
        <rFont val="Calibri"/>
        <family val="2"/>
        <scheme val="minor"/>
      </rPr>
      <t>a self-serve vendor ad dashboard</t>
    </r>
  </si>
  <si>
    <t>Let vendors bid on keywords (e.g., “electronics”)</t>
  </si>
  <si>
    <r>
      <t xml:space="preserve">Charge </t>
    </r>
    <r>
      <rPr>
        <b/>
        <sz val="11"/>
        <color theme="1"/>
        <rFont val="Calibri"/>
        <family val="2"/>
        <scheme val="minor"/>
      </rPr>
      <t>CPC, CPM, or commission boosts</t>
    </r>
  </si>
  <si>
    <r>
      <t xml:space="preserve">🧠 Bonus: Use </t>
    </r>
    <r>
      <rPr>
        <b/>
        <sz val="11"/>
        <color theme="1"/>
        <rFont val="Calibri"/>
        <family val="2"/>
        <scheme val="minor"/>
      </rPr>
      <t>emails, SMS, and push notifications</t>
    </r>
    <r>
      <rPr>
        <sz val="11"/>
        <color theme="1"/>
        <rFont val="Calibri"/>
        <family val="2"/>
        <scheme val="minor"/>
      </rPr>
      <t xml:space="preserve"> as paid ad channels later.</t>
    </r>
  </si>
  <si>
    <t>✍️ Suggested Forecast Values</t>
  </si>
  <si>
    <t>Year</t>
  </si>
  <si>
    <t>Avg Ad Revenue per Order</t>
  </si>
  <si>
    <t>Manual ads, pilot merchants</t>
  </si>
  <si>
    <t>Some vendors buy exposure</t>
  </si>
  <si>
    <t>Sponsored listings added</t>
  </si>
  <si>
    <t>Two cities, more vendors, targeting improves</t>
  </si>
  <si>
    <t>Scale + advanced ad features</t>
  </si>
  <si>
    <r>
      <t xml:space="preserve">Would you like me to show you how to plug this </t>
    </r>
    <r>
      <rPr>
        <b/>
        <sz val="11"/>
        <color theme="1"/>
        <rFont val="Calibri"/>
        <family val="2"/>
        <scheme val="minor"/>
      </rPr>
      <t>variable ad revenue</t>
    </r>
    <r>
      <rPr>
        <sz val="11"/>
        <color theme="1"/>
        <rFont val="Calibri"/>
        <family val="2"/>
        <scheme val="minor"/>
      </rPr>
      <t xml:space="preserve"> into your forecast sheet across months/years?</t>
    </r>
  </si>
  <si>
    <t>✅ CAC Overview by Phase</t>
  </si>
  <si>
    <t>Phase</t>
  </si>
  <si>
    <t>CAC</t>
  </si>
  <si>
    <t>Phase 1 (MVP &amp; Launch)</t>
  </si>
  <si>
    <t>High-cost awareness campaigns, early adopter targeting, street activation, influencer partnerships. You're building a brand and trust from zero.</t>
  </si>
  <si>
    <t>Phase 2 (Growth &amp; Optimization)</t>
  </si>
  <si>
    <t>Brand is known. Organic/word-of-mouth kicks in. Marketing becomes more efficient. Retargeting and referrals lower CAC.</t>
  </si>
  <si>
    <t>Phase 3 (Expansion to Lubumbashi)</t>
  </si>
  <si>
    <t>New market = new awareness costs. However, platform maturity means better acquisition strategies. Higher CAC reflects "first contact" costs in Lubumbashi.</t>
  </si>
  <si>
    <t>🔍 How to Further Justify</t>
  </si>
  <si>
    <t>🔸 Why $5.00 in Phase 1?</t>
  </si>
  <si>
    <r>
      <t xml:space="preserve">You're targeting </t>
    </r>
    <r>
      <rPr>
        <b/>
        <sz val="11"/>
        <color theme="1"/>
        <rFont val="Calibri"/>
        <family val="2"/>
        <scheme val="minor"/>
      </rPr>
      <t>a population not familiar with digital commerce</t>
    </r>
  </si>
  <si>
    <r>
      <t xml:space="preserve">You need to spend on </t>
    </r>
    <r>
      <rPr>
        <b/>
        <sz val="11"/>
        <color theme="1"/>
        <rFont val="Calibri"/>
        <family val="2"/>
        <scheme val="minor"/>
      </rPr>
      <t>educational content, trust-building, field teams</t>
    </r>
  </si>
  <si>
    <r>
      <t xml:space="preserve">Campaigns are </t>
    </r>
    <r>
      <rPr>
        <b/>
        <sz val="11"/>
        <color theme="1"/>
        <rFont val="Calibri"/>
        <family val="2"/>
        <scheme val="minor"/>
      </rPr>
      <t>broad, not yet optimized</t>
    </r>
  </si>
  <si>
    <r>
      <t>Low CTRs and conversion rates</t>
    </r>
    <r>
      <rPr>
        <sz val="11"/>
        <color theme="1"/>
        <rFont val="Calibri"/>
        <family val="2"/>
        <scheme val="minor"/>
      </rPr>
      <t xml:space="preserve"> in early-stage platforms are normal</t>
    </r>
  </si>
  <si>
    <t>Example: If you spend $1,000 and get 200 users → $5.00 CAC</t>
  </si>
  <si>
    <t>🔸 Why $3.50 in Phase 2?</t>
  </si>
  <si>
    <r>
      <t xml:space="preserve">Your brand starts to </t>
    </r>
    <r>
      <rPr>
        <b/>
        <sz val="11"/>
        <color theme="1"/>
        <rFont val="Calibri"/>
        <family val="2"/>
        <scheme val="minor"/>
      </rPr>
      <t>carry trust</t>
    </r>
  </si>
  <si>
    <r>
      <t xml:space="preserve">You can use </t>
    </r>
    <r>
      <rPr>
        <b/>
        <sz val="11"/>
        <color theme="1"/>
        <rFont val="Calibri"/>
        <family val="2"/>
        <scheme val="minor"/>
      </rPr>
      <t>custom audiences, retargeting, referrals</t>
    </r>
  </si>
  <si>
    <t>Users convert more easily with improved UX and payment flow</t>
  </si>
  <si>
    <t>Growth still requires spend, but each $1 goes further</t>
  </si>
  <si>
    <t>Example: Spend $3,500, gain 1,000 users → $3.50 CAC</t>
  </si>
  <si>
    <t>🔸 Why CAC Rises Again to $4.00 in Phase 3?</t>
  </si>
  <si>
    <r>
      <t xml:space="preserve">Entering </t>
    </r>
    <r>
      <rPr>
        <b/>
        <sz val="11"/>
        <color theme="1"/>
        <rFont val="Calibri"/>
        <family val="2"/>
        <scheme val="minor"/>
      </rPr>
      <t>a new region (Lubumbashi)</t>
    </r>
    <r>
      <rPr>
        <sz val="11"/>
        <color theme="1"/>
        <rFont val="Calibri"/>
        <family val="2"/>
        <scheme val="minor"/>
      </rPr>
      <t xml:space="preserve"> means new campaigns, awareness, logistics</t>
    </r>
  </si>
  <si>
    <r>
      <t xml:space="preserve">You benefit from </t>
    </r>
    <r>
      <rPr>
        <b/>
        <sz val="11"/>
        <color theme="1"/>
        <rFont val="Calibri"/>
        <family val="2"/>
        <scheme val="minor"/>
      </rPr>
      <t>playbook learnings</t>
    </r>
    <r>
      <rPr>
        <sz val="11"/>
        <color theme="1"/>
        <rFont val="Calibri"/>
        <family val="2"/>
        <scheme val="minor"/>
      </rPr>
      <t xml:space="preserve">, but still incur </t>
    </r>
    <r>
      <rPr>
        <b/>
        <sz val="11"/>
        <color theme="1"/>
        <rFont val="Calibri"/>
        <family val="2"/>
        <scheme val="minor"/>
      </rPr>
      <t>launch costs</t>
    </r>
  </si>
  <si>
    <r>
      <t xml:space="preserve">There may be </t>
    </r>
    <r>
      <rPr>
        <b/>
        <sz val="11"/>
        <color theme="1"/>
        <rFont val="Calibri"/>
        <family val="2"/>
        <scheme val="minor"/>
      </rPr>
      <t>less urban concentration</t>
    </r>
    <r>
      <rPr>
        <sz val="11"/>
        <color theme="1"/>
        <rFont val="Calibri"/>
        <family val="2"/>
        <scheme val="minor"/>
      </rPr>
      <t xml:space="preserve"> than Kinshasa → higher acquisition effort per user</t>
    </r>
  </si>
  <si>
    <t>🧠 Bonus Tip: Show CAC alongside LTV</t>
  </si>
  <si>
    <r>
      <t xml:space="preserve">To truly validate these CACs, you can estimate </t>
    </r>
    <r>
      <rPr>
        <b/>
        <sz val="11"/>
        <color theme="1"/>
        <rFont val="Calibri"/>
        <family val="2"/>
        <scheme val="minor"/>
      </rPr>
      <t>Lifetime Value (LTV)</t>
    </r>
    <r>
      <rPr>
        <sz val="11"/>
        <color theme="1"/>
        <rFont val="Calibri"/>
        <family val="2"/>
        <scheme val="minor"/>
      </rPr>
      <t>:</t>
    </r>
  </si>
  <si>
    <t>Even if LTV is just $15–$20, a CAC of $4–$5 is reasonable for initial growth.</t>
  </si>
  <si>
    <t>✅ Summary for Investor Use</t>
  </si>
  <si>
    <t>iWenze projects CAC of $5.00 in Phase 1 as it enters a low-trust, offline-first market. CAC decreases to $3.50 in Phase 2 as brand awareness and word-of-mouth reduce marketing pressure. In Phase 3, CAC rises modestly to $4.00 as we enter a new city (Lubumbashi), balancing new awareness campaigns with better acquisition tools and platform maturity.</t>
  </si>
  <si>
    <r>
      <t xml:space="preserve">Would you like help modeling </t>
    </r>
    <r>
      <rPr>
        <b/>
        <sz val="11"/>
        <color theme="1"/>
        <rFont val="Calibri"/>
        <family val="2"/>
        <scheme val="minor"/>
      </rPr>
      <t>monthly CAC changes</t>
    </r>
    <r>
      <rPr>
        <sz val="11"/>
        <color theme="1"/>
        <rFont val="Calibri"/>
        <family val="2"/>
        <scheme val="minor"/>
      </rPr>
      <t xml:space="preserve"> within each phase, or tying this to your marketing budget in Excel?</t>
    </r>
  </si>
  <si>
    <t>TOTAL</t>
  </si>
  <si>
    <t>📦 1. Fulfillment Cost per Order: $5.00 in All Phases</t>
  </si>
  <si>
    <t>✅ Is $5.00 reasonable?</t>
  </si>
  <si>
    <r>
      <t xml:space="preserve">It depends on your </t>
    </r>
    <r>
      <rPr>
        <b/>
        <sz val="11"/>
        <color theme="1"/>
        <rFont val="Calibri"/>
        <family val="2"/>
        <scheme val="minor"/>
      </rPr>
      <t>unit logistics model</t>
    </r>
    <r>
      <rPr>
        <sz val="11"/>
        <color theme="1"/>
        <rFont val="Calibri"/>
        <family val="2"/>
        <scheme val="minor"/>
      </rPr>
      <t xml:space="preserve">, but for early-stage eCommerce in the DRC (motorbike-based delivery), </t>
    </r>
    <r>
      <rPr>
        <b/>
        <sz val="11"/>
        <color theme="1"/>
        <rFont val="Calibri"/>
        <family val="2"/>
        <scheme val="minor"/>
      </rPr>
      <t>yes — $5 is realistic</t>
    </r>
    <r>
      <rPr>
        <sz val="11"/>
        <color theme="1"/>
        <rFont val="Calibri"/>
        <family val="2"/>
        <scheme val="minor"/>
      </rPr>
      <t xml:space="preserve"> as a blended average cost that includes:</t>
    </r>
  </si>
  <si>
    <t>Component</t>
  </si>
  <si>
    <t>Estimate (USD)</t>
  </si>
  <si>
    <t>Driver compensation</t>
  </si>
  <si>
    <t>$1.50–$2.00</t>
  </si>
  <si>
    <t>Fuel &amp; maintenance</t>
  </si>
  <si>
    <t>$1.00–$1.50</t>
  </si>
  <si>
    <t>Admin/dispatch/support</t>
  </si>
  <si>
    <t>Insurance &amp; buffer</t>
  </si>
  <si>
    <r>
      <t xml:space="preserve">⚠️ BUT: if </t>
    </r>
    <r>
      <rPr>
        <b/>
        <sz val="11"/>
        <color theme="1"/>
        <rFont val="Calibri"/>
        <family val="2"/>
        <scheme val="minor"/>
      </rPr>
      <t>you’re charging only $1.50 in delivery fees</t>
    </r>
    <r>
      <rPr>
        <sz val="11"/>
        <color theme="1"/>
        <rFont val="Calibri"/>
        <family val="2"/>
        <scheme val="minor"/>
      </rPr>
      <t xml:space="preserve"> to users and paying $5 fulfillment cost, you lose </t>
    </r>
    <r>
      <rPr>
        <b/>
        <sz val="11"/>
        <color theme="1"/>
        <rFont val="Calibri"/>
        <family val="2"/>
        <scheme val="minor"/>
      </rPr>
      <t>$3.50 per order</t>
    </r>
    <r>
      <rPr>
        <sz val="11"/>
        <color theme="1"/>
        <rFont val="Calibri"/>
        <family val="2"/>
        <scheme val="minor"/>
      </rPr>
      <t xml:space="preserve"> unless offset by commission or ad revenue.</t>
    </r>
  </si>
  <si>
    <t>✅ Suggestion:</t>
  </si>
  <si>
    <r>
      <t xml:space="preserve">You can </t>
    </r>
    <r>
      <rPr>
        <b/>
        <sz val="11"/>
        <color theme="1"/>
        <rFont val="Calibri"/>
        <family val="2"/>
        <scheme val="minor"/>
      </rPr>
      <t>keep $5 flat</t>
    </r>
    <r>
      <rPr>
        <sz val="11"/>
        <color theme="1"/>
        <rFont val="Calibri"/>
        <family val="2"/>
        <scheme val="minor"/>
      </rPr>
      <t xml:space="preserve"> for now, but plan to:</t>
    </r>
  </si>
  <si>
    <r>
      <t xml:space="preserve">Reduce it in </t>
    </r>
    <r>
      <rPr>
        <b/>
        <sz val="11"/>
        <color theme="1"/>
        <rFont val="Calibri"/>
        <family val="2"/>
        <scheme val="minor"/>
      </rPr>
      <t>Phase 3</t>
    </r>
    <r>
      <rPr>
        <sz val="11"/>
        <color theme="1"/>
        <rFont val="Calibri"/>
        <family val="2"/>
        <scheme val="minor"/>
      </rPr>
      <t xml:space="preserve"> with better routing, bulk shipping, or vendor fulfillment</t>
    </r>
  </si>
  <si>
    <r>
      <t xml:space="preserve">OR show how </t>
    </r>
    <r>
      <rPr>
        <b/>
        <sz val="11"/>
        <color theme="1"/>
        <rFont val="Calibri"/>
        <family val="2"/>
        <scheme val="minor"/>
      </rPr>
      <t>LTV</t>
    </r>
    <r>
      <rPr>
        <sz val="11"/>
        <color theme="1"/>
        <rFont val="Calibri"/>
        <family val="2"/>
        <scheme val="minor"/>
      </rPr>
      <t xml:space="preserve"> or </t>
    </r>
    <r>
      <rPr>
        <b/>
        <sz val="11"/>
        <color theme="1"/>
        <rFont val="Calibri"/>
        <family val="2"/>
        <scheme val="minor"/>
      </rPr>
      <t>platform revenue</t>
    </r>
    <r>
      <rPr>
        <sz val="11"/>
        <color theme="1"/>
        <rFont val="Calibri"/>
        <family val="2"/>
        <scheme val="minor"/>
      </rPr>
      <t xml:space="preserve"> makes up for it</t>
    </r>
  </si>
  <si>
    <t>💻 2. Monthly Platform Costs</t>
  </si>
  <si>
    <t>Your Value</t>
  </si>
  <si>
    <t>Commentary</t>
  </si>
  <si>
    <t>Phase 1</t>
  </si>
  <si>
    <t>✅ Good MVP estimate (hosting, monitoring, part-time dev)</t>
  </si>
  <si>
    <t>Phase 2</t>
  </si>
  <si>
    <t>✅ Justified if traffic, database, and logistics features grow</t>
  </si>
  <si>
    <t>Phase 3</t>
  </si>
  <si>
    <t>✅ Stable growth. Could include dual-region support (Kinshasa + Lubumbashi)</t>
  </si>
  <si>
    <t>💡 If you're using AWS/GCP + some automation + outsourcing maintenance, these numbers are realistic.</t>
  </si>
  <si>
    <t>✅ No changes needed.</t>
  </si>
  <si>
    <t>📢 3. Monthly Marketing Budget</t>
  </si>
  <si>
    <t>✅ High-budget push to drive awareness, perfect for CAC ~$5</t>
  </si>
  <si>
    <t>✅ Lower CAC + some organic growth, so this is fair</t>
  </si>
  <si>
    <t>✅ Slower user growth, but justified if CAC = $4</t>
  </si>
  <si>
    <t>🧠 Justification:</t>
  </si>
  <si>
    <t>“Our marketing budget reflects early acquisition costs to establish trust and awareness in Kinshasa. Over time, brand recognition and organic growth allow us to reduce marketing intensity without impacting user acquisition goals.”</t>
  </si>
  <si>
    <r>
      <t xml:space="preserve">✅ These are defensible values — you don’t need to change them, but consider adding a </t>
    </r>
    <r>
      <rPr>
        <b/>
        <sz val="11"/>
        <color theme="1"/>
        <rFont val="Calibri"/>
        <family val="2"/>
        <scheme val="minor"/>
      </rPr>
      <t>footnote</t>
    </r>
    <r>
      <rPr>
        <sz val="11"/>
        <color theme="1"/>
        <rFont val="Calibri"/>
        <family val="2"/>
        <scheme val="minor"/>
      </rPr>
      <t xml:space="preserve"> like:</t>
    </r>
  </si>
  <si>
    <t>“Marketing spend may be adjusted in proportion to actual CAC and channel performance. Based on an estimated CAC of $5.00 → $3.50 → $4.00 across phases.”</t>
  </si>
  <si>
    <t>✅ Final Verdict</t>
  </si>
  <si>
    <t>Keep?</t>
  </si>
  <si>
    <t>Notes</t>
  </si>
  <si>
    <t>Fulfillment Cost / Order</t>
  </si>
  <si>
    <t>✅</t>
  </si>
  <si>
    <t>Keep $5, but consider decreasing in Phase 3 or show revenue offsets</t>
  </si>
  <si>
    <t>Platform Cost / Month</t>
  </si>
  <si>
    <t>Justified and realistic</t>
  </si>
  <si>
    <t>Marketing Budget / Month</t>
  </si>
  <si>
    <t>Fits CAC and growth targets</t>
  </si>
  <si>
    <t>Warehouse Staff</t>
  </si>
  <si>
    <t>Support Agents</t>
  </si>
  <si>
    <t>Core DRC staff</t>
  </si>
  <si>
    <t>Number Team Members (DRC)</t>
  </si>
  <si>
    <t>CEO, CTO, Product Lead, Strategic, Dev</t>
  </si>
  <si>
    <t>DRC Ops Manager, Vendor manager, Customer Service Lead, Dispatch coordinator, dev</t>
  </si>
  <si>
    <t>✅ 1. Average Monthly Salaries (No Change Needed)</t>
  </si>
  <si>
    <t>Role Location</t>
  </si>
  <si>
    <t>Avg Monthly Salary (USD)</t>
  </si>
  <si>
    <t>🇨🇦 Canada</t>
  </si>
  <si>
    <t>Competitive for part-time/full-time remote software engineers or product leads</t>
  </si>
  <si>
    <t>🇨🇩 DRC</t>
  </si>
  <si>
    <t>Typical for administrative, ops, logistics coordination, support roles</t>
  </si>
  <si>
    <t>✅ These values are realistic and balanced. No need to change.</t>
  </si>
  <si>
    <t>✅ 2. Core Team Members (Management/Tech/Support)</t>
  </si>
  <si>
    <t>All Phases</t>
  </si>
  <si>
    <t>💼 Roles You Likely Need:</t>
  </si>
  <si>
    <t>🇨🇦 Canada (Strategic / Technical)</t>
  </si>
  <si>
    <t>1 CTO or lead dev (full-stack)</t>
  </si>
  <si>
    <t>1 Product or UX lead</t>
  </si>
  <si>
    <t>1 Strategic/Finance/Investor relations</t>
  </si>
  <si>
    <t>🇨🇩 DRC (Ops-heavy roles)</t>
  </si>
  <si>
    <t>1 Country Ops Manager</t>
  </si>
  <si>
    <t>1 Vendor Manager (onboarding + support)</t>
  </si>
  <si>
    <t>1 Customer Service Lead</t>
  </si>
  <si>
    <t>1 Dispatch Coordinator (logistics)</t>
  </si>
  <si>
    <t>1 Community/Field Marketing Lead</t>
  </si>
  <si>
    <t>✅ These roles make sense for Phases 1–3 — especially if most execution is in DRC.</t>
  </si>
  <si>
    <t>✅ 3. Operational Headcount – Formula-Based Estimation</t>
  </si>
  <si>
    <r>
      <t xml:space="preserve">Here are </t>
    </r>
    <r>
      <rPr>
        <b/>
        <sz val="11"/>
        <color theme="1"/>
        <rFont val="Calibri"/>
        <family val="2"/>
        <scheme val="minor"/>
      </rPr>
      <t>simple formulas</t>
    </r>
    <r>
      <rPr>
        <sz val="11"/>
        <color theme="1"/>
        <rFont val="Calibri"/>
        <family val="2"/>
        <scheme val="minor"/>
      </rPr>
      <t xml:space="preserve"> to estimate team size based on volume:</t>
    </r>
  </si>
  <si>
    <t>🛵 Number of Drivers</t>
  </si>
  <si>
    <t>Formula:</t>
  </si>
  <si>
    <t>Assumptions:</t>
  </si>
  <si>
    <t>20 deliveries/day/driver</t>
  </si>
  <si>
    <t>25 working days/month</t>
  </si>
  <si>
    <t>☎️ Customer Support</t>
  </si>
  <si>
    <t>Assume:</t>
  </si>
  <si>
    <t>1 agent can handle ~1,000 users/month (chat/email/WhatsApp)</t>
  </si>
  <si>
    <t>So:</t>
  </si>
  <si>
    <t>✅ 4. Summary Staffing Plan by Phase</t>
  </si>
  <si>
    <t>Role</t>
  </si>
  <si>
    <t>Phase 1 (600 orders, 2k users)</t>
  </si>
  <si>
    <t>Phase 2 (10k orders, 10k users)</t>
  </si>
  <si>
    <t>Phase 3 (20k+ orders, 30k users)</t>
  </si>
  <si>
    <t>Drivers</t>
  </si>
  <si>
    <t>1–2</t>
  </si>
  <si>
    <t>5–7</t>
  </si>
  <si>
    <t>10–15</t>
  </si>
  <si>
    <t>Core DRC Staff</t>
  </si>
  <si>
    <r>
      <t>5</t>
    </r>
    <r>
      <rPr>
        <sz val="11"/>
        <color theme="1"/>
        <rFont val="Calibri"/>
        <family val="2"/>
        <scheme val="minor"/>
      </rPr>
      <t xml:space="preserve"> (maybe +2)</t>
    </r>
  </si>
  <si>
    <t>Core Canada Staff</t>
  </si>
  <si>
    <t>✅ Salary Calculations (Monthly)</t>
  </si>
  <si>
    <t>Total DRC Salaries</t>
  </si>
  <si>
    <t>Total Canada Salaries</t>
  </si>
  <si>
    <r>
      <t xml:space="preserve">(5 + 2 + 2) × $500 = </t>
    </r>
    <r>
      <rPr>
        <b/>
        <sz val="11"/>
        <color theme="1"/>
        <rFont val="Calibri"/>
        <family val="2"/>
        <scheme val="minor"/>
      </rPr>
      <t>$4,500</t>
    </r>
  </si>
  <si>
    <r>
      <t xml:space="preserve">3 × $4,500 = </t>
    </r>
    <r>
      <rPr>
        <b/>
        <sz val="11"/>
        <color theme="1"/>
        <rFont val="Calibri"/>
        <family val="2"/>
        <scheme val="minor"/>
      </rPr>
      <t>$13,500</t>
    </r>
  </si>
  <si>
    <r>
      <t xml:space="preserve">(5 + 7 + 10) × $500 = </t>
    </r>
    <r>
      <rPr>
        <b/>
        <sz val="11"/>
        <color theme="1"/>
        <rFont val="Calibri"/>
        <family val="2"/>
        <scheme val="minor"/>
      </rPr>
      <t>$11,000</t>
    </r>
  </si>
  <si>
    <t>Same</t>
  </si>
  <si>
    <r>
      <t xml:space="preserve">(7 + 15 + 30) × $500 = </t>
    </r>
    <r>
      <rPr>
        <b/>
        <sz val="11"/>
        <color theme="1"/>
        <rFont val="Calibri"/>
        <family val="2"/>
        <scheme val="minor"/>
      </rPr>
      <t>$26,000</t>
    </r>
  </si>
  <si>
    <t>But only 2% - 5% of users will need actual support</t>
  </si>
  <si>
    <r>
      <t>2,000 total users  = 100 users in need of support = 1</t>
    </r>
    <r>
      <rPr>
        <b/>
        <sz val="11"/>
        <color theme="1"/>
        <rFont val="Calibri"/>
        <family val="2"/>
        <scheme val="minor"/>
      </rPr>
      <t xml:space="preserve"> agents</t>
    </r>
  </si>
  <si>
    <r>
      <t>100,000 total users = 5000 users in need of support = 5</t>
    </r>
    <r>
      <rPr>
        <b/>
        <sz val="11"/>
        <color theme="1"/>
        <rFont val="Calibri"/>
        <family val="2"/>
        <scheme val="minor"/>
      </rPr>
      <t xml:space="preserve"> agents</t>
    </r>
  </si>
  <si>
    <t>1 support 2%-5% of users/month and they solve 400 ticket a month</t>
  </si>
  <si>
    <t>🧠 1. Support Agent Capacity Depends on These Factors:</t>
  </si>
  <si>
    <t>Factor</t>
  </si>
  <si>
    <t>Typical Range</t>
  </si>
  <si>
    <t>Working hours/month</t>
  </si>
  <si>
    <t>~160 hours (40 hrs/week × 4 weeks)</t>
  </si>
  <si>
    <t>Avg handling time/ticket</t>
  </si>
  <si>
    <t>5–20 minutes</t>
  </si>
  <si>
    <t>Channel mix</t>
  </si>
  <si>
    <t>Chat &amp; email = faster; phone = slower</t>
  </si>
  <si>
    <t>Tooling</t>
  </si>
  <si>
    <t>Helpdesk (Freshdesk, Zendesk), templates, bots = higher efficiency</t>
  </si>
  <si>
    <t>Ticket complexity</t>
  </si>
  <si>
    <t>If most issues are simple (“where’s my order?”), higher volume is manageable</t>
  </si>
  <si>
    <t>🧮 2. How 400 Tickets/Month Is Calculated</t>
  </si>
  <si>
    <t>Let’s assume:</t>
  </si>
  <si>
    <t>160 working hours/month</t>
  </si>
  <si>
    <t>15 minutes per ticket on average</t>
  </si>
  <si>
    <t>160 hrs×6015 min/ticket=640 tickets/month\frac{160 \text{ hrs} \times 60}{15 \text{ min/ticket}} = 640 \text{ tickets/month}</t>
  </si>
  <si>
    <r>
      <t xml:space="preserve">This is the </t>
    </r>
    <r>
      <rPr>
        <b/>
        <sz val="11"/>
        <color theme="1"/>
        <rFont val="Calibri"/>
        <family val="2"/>
        <scheme val="minor"/>
      </rPr>
      <t>max theoretical limit</t>
    </r>
    <r>
      <rPr>
        <sz val="11"/>
        <color theme="1"/>
        <rFont val="Calibri"/>
        <family val="2"/>
        <scheme val="minor"/>
      </rPr>
      <t>.</t>
    </r>
  </si>
  <si>
    <r>
      <t xml:space="preserve">To keep it </t>
    </r>
    <r>
      <rPr>
        <b/>
        <sz val="11"/>
        <color theme="1"/>
        <rFont val="Calibri"/>
        <family val="2"/>
        <scheme val="minor"/>
      </rPr>
      <t>sustainable</t>
    </r>
    <r>
      <rPr>
        <sz val="11"/>
        <color theme="1"/>
        <rFont val="Calibri"/>
        <family val="2"/>
        <scheme val="minor"/>
      </rPr>
      <t>, you apply a 60–70% productivity factor (downtime, admin, lunch, etc.):</t>
    </r>
  </si>
  <si>
    <t>640×0.65=416 → round down to 400640 \times 0.65 = \boxed{416} \text{ → round down to 400}</t>
  </si>
  <si>
    <r>
      <t>400 tickets/month</t>
    </r>
    <r>
      <rPr>
        <sz val="11"/>
        <color theme="1"/>
        <rFont val="Calibri"/>
        <family val="2"/>
        <scheme val="minor"/>
      </rPr>
      <t xml:space="preserve"> = sustainable baseline</t>
    </r>
  </si>
  <si>
    <r>
      <t xml:space="preserve">High-performing team + automation? You could go to </t>
    </r>
    <r>
      <rPr>
        <b/>
        <sz val="11"/>
        <color theme="1"/>
        <rFont val="Calibri"/>
        <family val="2"/>
        <scheme val="minor"/>
      </rPr>
      <t>600–800</t>
    </r>
  </si>
  <si>
    <r>
      <t xml:space="preserve">More complex support (e.g., failed deliveries)? Stick to </t>
    </r>
    <r>
      <rPr>
        <b/>
        <sz val="11"/>
        <color theme="1"/>
        <rFont val="Calibri"/>
        <family val="2"/>
        <scheme val="minor"/>
      </rPr>
      <t>300–400</t>
    </r>
  </si>
  <si>
    <t>✅ Final Recommendation</t>
  </si>
  <si>
    <t>Scenario</t>
  </si>
  <si>
    <t>Tickets per Agent/Month</t>
  </si>
  <si>
    <r>
      <t>250–300</t>
    </r>
    <r>
      <rPr>
        <sz val="11"/>
        <color theme="1"/>
        <rFont val="Calibri"/>
        <family val="2"/>
        <scheme val="minor"/>
      </rPr>
      <t xml:space="preserve"> (learning, no tools)</t>
    </r>
  </si>
  <si>
    <t>Growing Phase</t>
  </si>
  <si>
    <r>
      <t>350–450</t>
    </r>
    <r>
      <rPr>
        <sz val="11"/>
        <color theme="1"/>
        <rFont val="Calibri"/>
        <family val="2"/>
        <scheme val="minor"/>
      </rPr>
      <t xml:space="preserve"> (chat templates, FAQs, better UX)</t>
    </r>
  </si>
  <si>
    <t>Mature Setup</t>
  </si>
  <si>
    <r>
      <t>500–800</t>
    </r>
    <r>
      <rPr>
        <sz val="11"/>
        <color theme="1"/>
        <rFont val="Calibri"/>
        <family val="2"/>
        <scheme val="minor"/>
      </rPr>
      <t xml:space="preserve"> (chatbots, auto-routing, tier 1/2 support)</t>
    </r>
  </si>
  <si>
    <t>So for your model:</t>
  </si>
  <si>
    <r>
      <t xml:space="preserve">Use </t>
    </r>
    <r>
      <rPr>
        <b/>
        <sz val="11"/>
        <color theme="1"/>
        <rFont val="Calibri"/>
        <family val="2"/>
        <scheme val="minor"/>
      </rPr>
      <t>400</t>
    </r>
    <r>
      <rPr>
        <sz val="11"/>
        <color theme="1"/>
        <rFont val="Calibri"/>
        <family val="2"/>
        <scheme val="minor"/>
      </rPr>
      <t xml:space="preserve"> if you plan to implement chat support, auto-replies, and basic tooling</t>
    </r>
  </si>
  <si>
    <r>
      <t xml:space="preserve">Use </t>
    </r>
    <r>
      <rPr>
        <b/>
        <sz val="11"/>
        <color theme="1"/>
        <rFont val="Calibri"/>
        <family val="2"/>
        <scheme val="minor"/>
      </rPr>
      <t>300</t>
    </r>
    <r>
      <rPr>
        <sz val="11"/>
        <color theme="1"/>
        <rFont val="Calibri"/>
        <family val="2"/>
        <scheme val="minor"/>
      </rPr>
      <t xml:space="preserve"> if you're very early and managing over WhatsApp</t>
    </r>
  </si>
  <si>
    <t>🚚 1. Delivery Drivers – Do You Really Need 200?</t>
  </si>
  <si>
    <t>📌 Your formula:</t>
  </si>
  <si>
    <t>Drivers=120,040 orders600=200\text{Drivers} = \frac{120,040 \text{ orders}}{600} = 200</t>
  </si>
  <si>
    <t>But this assumes:</t>
  </si>
  <si>
    <r>
      <t xml:space="preserve">1 driver only does </t>
    </r>
    <r>
      <rPr>
        <b/>
        <sz val="11"/>
        <color theme="1"/>
        <rFont val="Calibri"/>
        <family val="2"/>
        <scheme val="minor"/>
      </rPr>
      <t>600 orders/month</t>
    </r>
    <r>
      <rPr>
        <sz val="11"/>
        <color theme="1"/>
        <rFont val="Calibri"/>
        <family val="2"/>
        <scheme val="minor"/>
      </rPr>
      <t xml:space="preserve"> = </t>
    </r>
    <r>
      <rPr>
        <b/>
        <sz val="11"/>
        <color theme="1"/>
        <rFont val="Calibri"/>
        <family val="2"/>
        <scheme val="minor"/>
      </rPr>
      <t>24/day</t>
    </r>
    <r>
      <rPr>
        <sz val="11"/>
        <color theme="1"/>
        <rFont val="Calibri"/>
        <family val="2"/>
        <scheme val="minor"/>
      </rPr>
      <t xml:space="preserve"> (if 25 workdays)</t>
    </r>
  </si>
  <si>
    <r>
      <t xml:space="preserve">You're managing </t>
    </r>
    <r>
      <rPr>
        <b/>
        <sz val="11"/>
        <color theme="1"/>
        <rFont val="Calibri"/>
        <family val="2"/>
        <scheme val="minor"/>
      </rPr>
      <t>all logistics in-house</t>
    </r>
    <r>
      <rPr>
        <sz val="11"/>
        <color theme="1"/>
        <rFont val="Calibri"/>
        <family val="2"/>
        <scheme val="minor"/>
      </rPr>
      <t xml:space="preserve">, and </t>
    </r>
    <r>
      <rPr>
        <b/>
        <sz val="11"/>
        <color theme="1"/>
        <rFont val="Calibri"/>
        <family val="2"/>
        <scheme val="minor"/>
      </rPr>
      <t>no vendor or 3PL</t>
    </r>
    <r>
      <rPr>
        <sz val="11"/>
        <color theme="1"/>
        <rFont val="Calibri"/>
        <family val="2"/>
        <scheme val="minor"/>
      </rPr>
      <t xml:space="preserve"> (third-party logistics)</t>
    </r>
  </si>
  <si>
    <t>✅ Realistic Alternative:</t>
  </si>
  <si>
    <t>Most eCommerce platforms:</t>
  </si>
  <si>
    <r>
      <t>Outsource</t>
    </r>
    <r>
      <rPr>
        <sz val="11"/>
        <color theme="1"/>
        <rFont val="Calibri"/>
        <family val="2"/>
        <scheme val="minor"/>
      </rPr>
      <t xml:space="preserve"> or </t>
    </r>
    <r>
      <rPr>
        <b/>
        <sz val="11"/>
        <color theme="1"/>
        <rFont val="Calibri"/>
        <family val="2"/>
        <scheme val="minor"/>
      </rPr>
      <t>partner with local drivers</t>
    </r>
  </si>
  <si>
    <r>
      <t xml:space="preserve">Use </t>
    </r>
    <r>
      <rPr>
        <b/>
        <sz val="11"/>
        <color theme="1"/>
        <rFont val="Calibri"/>
        <family val="2"/>
        <scheme val="minor"/>
      </rPr>
      <t>dynamic scheduling</t>
    </r>
    <r>
      <rPr>
        <sz val="11"/>
        <color theme="1"/>
        <rFont val="Calibri"/>
        <family val="2"/>
        <scheme val="minor"/>
      </rPr>
      <t xml:space="preserve"> (peak days/weekends)</t>
    </r>
  </si>
  <si>
    <r>
      <t xml:space="preserve">Optimize deliveries </t>
    </r>
    <r>
      <rPr>
        <b/>
        <sz val="11"/>
        <color theme="1"/>
        <rFont val="Calibri"/>
        <family val="2"/>
        <scheme val="minor"/>
      </rPr>
      <t>by route and density</t>
    </r>
  </si>
  <si>
    <t>Instead, use this formula:</t>
  </si>
  <si>
    <t>Driver Efficiency Model</t>
  </si>
  <si>
    <t>Drivers=OrdersDeliveries per Day×Workdays\text{Drivers} = \frac{\text{Orders}}{\text{Deliveries per Day} \times \text{Workdays}}</t>
  </si>
  <si>
    <t>20 deliveries/day per driver</t>
  </si>
  <si>
    <t>120,040/(20×25)=240.08→240drivers(yourcurrentestimateisclose)120,040 / (20 × 25) = 240.08 → 240 drivers (your current estimate is close)</t>
  </si>
  <si>
    <t>🧠 BUT:</t>
  </si>
  <si>
    <r>
      <t xml:space="preserve">This doesn't mean </t>
    </r>
    <r>
      <rPr>
        <b/>
        <sz val="11"/>
        <color theme="1"/>
        <rFont val="Calibri"/>
        <family val="2"/>
        <scheme val="minor"/>
      </rPr>
      <t>240 full-time employees</t>
    </r>
  </si>
  <si>
    <t>Instead, model this as:</t>
  </si>
  <si>
    <t>Contracted fleet</t>
  </si>
  <si>
    <t>Peak/daytime shifts</t>
  </si>
  <si>
    <t>Pay-per-delivery basis</t>
  </si>
  <si>
    <t>✅ Recommended:</t>
  </si>
  <si>
    <r>
      <t>Keep 1 driver per ~600 orders</t>
    </r>
    <r>
      <rPr>
        <sz val="11"/>
        <color theme="1"/>
        <rFont val="Calibri"/>
        <family val="2"/>
        <scheme val="minor"/>
      </rPr>
      <t xml:space="preserve"> for modeling cost</t>
    </r>
  </si>
  <si>
    <r>
      <t xml:space="preserve">But clarify in narrative: </t>
    </r>
    <r>
      <rPr>
        <i/>
        <sz val="11"/>
        <color theme="1"/>
        <rFont val="Calibri"/>
        <family val="2"/>
        <scheme val="minor"/>
      </rPr>
      <t>"These are not full-time staff, but contracted or partner drivers paid per delivery."</t>
    </r>
  </si>
  <si>
    <t>🏢 2. Warehouse Staff – Do You Need 200?</t>
  </si>
  <si>
    <r>
      <t xml:space="preserve">Only </t>
    </r>
    <r>
      <rPr>
        <b/>
        <sz val="11"/>
        <color theme="1"/>
        <rFont val="Calibri"/>
        <family val="2"/>
        <scheme val="minor"/>
      </rPr>
      <t>if</t>
    </r>
    <r>
      <rPr>
        <sz val="11"/>
        <color theme="1"/>
        <rFont val="Calibri"/>
        <family val="2"/>
        <scheme val="minor"/>
      </rPr>
      <t xml:space="preserve"> you’re:</t>
    </r>
  </si>
  <si>
    <r>
      <t xml:space="preserve">Storing, packing, and shipping </t>
    </r>
    <r>
      <rPr>
        <b/>
        <sz val="11"/>
        <color theme="1"/>
        <rFont val="Calibri"/>
        <family val="2"/>
        <scheme val="minor"/>
      </rPr>
      <t>100% of goods yourself</t>
    </r>
  </si>
  <si>
    <t>Running multiple warehouses</t>
  </si>
  <si>
    <r>
      <t xml:space="preserve">⚠️ This assumes </t>
    </r>
    <r>
      <rPr>
        <b/>
        <sz val="11"/>
        <color theme="1"/>
        <rFont val="Calibri"/>
        <family val="2"/>
        <scheme val="minor"/>
      </rPr>
      <t>you own all logistics and product flow</t>
    </r>
    <r>
      <rPr>
        <sz val="11"/>
        <color theme="1"/>
        <rFont val="Calibri"/>
        <family val="2"/>
        <scheme val="minor"/>
      </rPr>
      <t>, which is very capital intensive.</t>
    </r>
  </si>
  <si>
    <t>If you're:</t>
  </si>
  <si>
    <t>Still vendor-led</t>
  </si>
  <si>
    <t>Moving into partial fulfillment or inventory control</t>
  </si>
  <si>
    <r>
      <t xml:space="preserve">Use a </t>
    </r>
    <r>
      <rPr>
        <b/>
        <sz val="11"/>
        <color theme="1"/>
        <rFont val="Calibri"/>
        <family val="2"/>
        <scheme val="minor"/>
      </rPr>
      <t>revised staffing ratio</t>
    </r>
    <r>
      <rPr>
        <sz val="11"/>
        <color theme="1"/>
        <rFont val="Calibri"/>
        <family val="2"/>
        <scheme val="minor"/>
      </rPr>
      <t>:</t>
    </r>
  </si>
  <si>
    <r>
      <t>Phase 1–2</t>
    </r>
    <r>
      <rPr>
        <sz val="11"/>
        <color theme="1"/>
        <rFont val="Calibri"/>
        <family val="2"/>
        <scheme val="minor"/>
      </rPr>
      <t>: 1 warehouse staff per 600–1,000 orders</t>
    </r>
  </si>
  <si>
    <r>
      <t>Phase 3 (if partially automated)</t>
    </r>
    <r>
      <rPr>
        <sz val="11"/>
        <color theme="1"/>
        <rFont val="Calibri"/>
        <family val="2"/>
        <scheme val="minor"/>
      </rPr>
      <t>: 1 staff per 1,200–1,500 orders</t>
    </r>
  </si>
  <si>
    <t>120,040 orders/1,200=100warehousestaff\text{120,040 orders} / 1,200 = \boxed{100 warehouse staff}</t>
  </si>
  <si>
    <t>Or even less, if:</t>
  </si>
  <si>
    <t>You use 3PLs</t>
  </si>
  <si>
    <r>
      <t xml:space="preserve">You run </t>
    </r>
    <r>
      <rPr>
        <b/>
        <sz val="11"/>
        <color theme="1"/>
        <rFont val="Calibri"/>
        <family val="2"/>
        <scheme val="minor"/>
      </rPr>
      <t>2 shifts</t>
    </r>
  </si>
  <si>
    <r>
      <t xml:space="preserve">You </t>
    </r>
    <r>
      <rPr>
        <b/>
        <sz val="11"/>
        <color theme="1"/>
        <rFont val="Calibri"/>
        <family val="2"/>
        <scheme val="minor"/>
      </rPr>
      <t>automate</t>
    </r>
    <r>
      <rPr>
        <sz val="11"/>
        <color theme="1"/>
        <rFont val="Calibri"/>
        <family val="2"/>
        <scheme val="minor"/>
      </rPr>
      <t xml:space="preserve"> packaging/sorting</t>
    </r>
  </si>
  <si>
    <t>✅ Final Recommendations</t>
  </si>
  <si>
    <t>Original Rule</t>
  </si>
  <si>
    <t>Revised Rule (w/ Justification)</t>
  </si>
  <si>
    <t>1 per 600 orders</t>
  </si>
  <si>
    <t>✅ Keep, but clarify they are contractors or pay-per-drop drivers</t>
  </si>
  <si>
    <t>Warehouse</t>
  </si>
  <si>
    <t>⚠️ High — revise to 1 per 1,200–1,500 orders at scale</t>
  </si>
  <si>
    <t>Support Staff</t>
  </si>
  <si>
    <t>1 per 1,000 users</t>
  </si>
  <si>
    <t>❌ Unrealistic — revise based on tickets/month (2–3% of users)</t>
  </si>
  <si>
    <t>✍️ Suggested Model Narrative</t>
  </si>
  <si>
    <t>"Delivery drivers are paid per drop and scheduled dynamically through our logistics dashboard. While our forecast shows 1 driver per 600 orders, these are not full-time hires. Likewise, as we grow partial in-house fulfillment, we optimize warehouse staffing to 1 person per 1,200 orders via batching, automation, and phased warehousing."</t>
  </si>
  <si>
    <r>
      <t xml:space="preserve">Would you like me to update your </t>
    </r>
    <r>
      <rPr>
        <b/>
        <sz val="11"/>
        <color theme="1"/>
        <rFont val="Calibri"/>
        <family val="2"/>
        <scheme val="minor"/>
      </rPr>
      <t>staffing formulas</t>
    </r>
    <r>
      <rPr>
        <sz val="11"/>
        <color theme="1"/>
        <rFont val="Calibri"/>
        <family val="2"/>
        <scheme val="minor"/>
      </rPr>
      <t xml:space="preserve"> and Excel assumptions based on this logic?</t>
    </r>
  </si>
  <si>
    <t>1 staff per 600/1000/1500 orders/month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</si>
</sst>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_-* #,##0.0_-;\-* #,##0.0_-;_-* &quot;-&quot;?_-;_-@_-"/>
    <numFmt numFmtId="166" formatCode="_-&quot;$&quot;* #,##0.0_-;\-&quot;$&quot;* #,##0.0_-;_-&quot;$&quot;* &quot;-&quot;?_-;_-@_-"/>
    <numFmt numFmtId="171" formatCode="_-* #,##0_-;\-* #,##0_-;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indexed="81"/>
      <name val="Tahoma"/>
      <family val="2"/>
    </font>
    <font>
      <b/>
      <sz val="22"/>
      <color theme="0"/>
      <name val="Calibri"/>
      <family val="2"/>
      <scheme val="minor"/>
    </font>
    <font>
      <sz val="8"/>
      <name val="Calibri"/>
      <family val="2"/>
      <scheme val="minor"/>
    </font>
    <font>
      <b/>
      <sz val="9"/>
      <color indexed="81"/>
      <name val="Tahoma"/>
      <family val="2"/>
    </font>
    <font>
      <b/>
      <sz val="18"/>
      <color theme="1"/>
      <name val="Calibri"/>
      <family val="2"/>
      <scheme val="minor"/>
    </font>
    <font>
      <b/>
      <sz val="13.5"/>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8"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top/>
      <bottom style="thin">
        <color auto="1"/>
      </bottom>
      <diagonal/>
    </border>
    <border>
      <left/>
      <right style="thin">
        <color auto="1"/>
      </right>
      <top/>
      <bottom/>
      <diagonal/>
    </border>
    <border>
      <left style="thin">
        <color theme="0"/>
      </left>
      <right style="thin">
        <color theme="0"/>
      </right>
      <top/>
      <bottom style="thin">
        <color theme="0"/>
      </bottom>
      <diagonal/>
    </border>
    <border>
      <left style="thin">
        <color auto="1"/>
      </left>
      <right style="thin">
        <color auto="1"/>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1" fillId="0" borderId="2" xfId="0" applyFont="1" applyBorder="1" applyAlignment="1">
      <alignment horizontal="center" vertical="top"/>
    </xf>
    <xf numFmtId="0" fontId="0" fillId="3" borderId="3" xfId="0" applyFill="1" applyBorder="1"/>
    <xf numFmtId="0" fontId="0" fillId="4" borderId="3" xfId="0" applyFill="1" applyBorder="1"/>
    <xf numFmtId="0" fontId="0" fillId="4" borderId="4" xfId="0" applyFill="1" applyBorder="1"/>
    <xf numFmtId="0" fontId="0" fillId="4" borderId="5" xfId="0" applyFill="1" applyBorder="1"/>
    <xf numFmtId="0" fontId="0" fillId="0" borderId="0" xfId="0" applyAlignment="1">
      <alignment horizontal="center"/>
    </xf>
    <xf numFmtId="9" fontId="0" fillId="0" borderId="0" xfId="0" applyNumberFormat="1" applyAlignment="1">
      <alignment horizontal="center"/>
    </xf>
    <xf numFmtId="44" fontId="0" fillId="0" borderId="0" xfId="2" applyFont="1" applyAlignment="1">
      <alignment horizontal="center"/>
    </xf>
    <xf numFmtId="0" fontId="3" fillId="2" borderId="1" xfId="0" applyFont="1" applyFill="1" applyBorder="1" applyAlignment="1">
      <alignment horizontal="center" vertical="top"/>
    </xf>
    <xf numFmtId="0" fontId="5" fillId="5" borderId="0" xfId="0" applyFont="1" applyFill="1"/>
    <xf numFmtId="0" fontId="3" fillId="2" borderId="7" xfId="0" applyFont="1" applyFill="1" applyBorder="1" applyAlignment="1">
      <alignment horizontal="center" vertical="top"/>
    </xf>
    <xf numFmtId="9" fontId="0" fillId="0" borderId="0" xfId="3" applyFont="1" applyAlignment="1">
      <alignment horizontal="center"/>
    </xf>
    <xf numFmtId="44" fontId="0" fillId="0" borderId="0" xfId="0" applyNumberFormat="1"/>
    <xf numFmtId="164" fontId="0" fillId="0" borderId="0" xfId="1" applyNumberFormat="1" applyFont="1"/>
    <xf numFmtId="44" fontId="0" fillId="0" borderId="0" xfId="2" applyFont="1"/>
    <xf numFmtId="164" fontId="0" fillId="3" borderId="4" xfId="1" applyNumberFormat="1" applyFont="1" applyFill="1" applyBorder="1"/>
    <xf numFmtId="164" fontId="0" fillId="4" borderId="4" xfId="1" applyNumberFormat="1" applyFont="1" applyFill="1" applyBorder="1"/>
    <xf numFmtId="44" fontId="0" fillId="3" borderId="4" xfId="2" applyFont="1" applyFill="1" applyBorder="1"/>
    <xf numFmtId="44" fontId="0" fillId="4" borderId="4" xfId="0" applyNumberFormat="1" applyFill="1" applyBorder="1"/>
    <xf numFmtId="44" fontId="0" fillId="3" borderId="4" xfId="0" applyNumberFormat="1" applyFill="1" applyBorder="1"/>
    <xf numFmtId="44" fontId="0" fillId="4" borderId="4" xfId="2" applyFont="1" applyFill="1" applyBorder="1"/>
    <xf numFmtId="0" fontId="1" fillId="4" borderId="3" xfId="0" applyFont="1" applyFill="1" applyBorder="1"/>
    <xf numFmtId="0" fontId="1" fillId="3" borderId="3" xfId="0" applyFont="1" applyFill="1" applyBorder="1"/>
    <xf numFmtId="0" fontId="1" fillId="6" borderId="6" xfId="0" applyFont="1" applyFill="1" applyBorder="1" applyAlignment="1">
      <alignment horizontal="center"/>
    </xf>
    <xf numFmtId="0" fontId="1" fillId="7" borderId="6" xfId="0" applyFont="1" applyFill="1" applyBorder="1" applyAlignment="1">
      <alignment horizontal="center"/>
    </xf>
    <xf numFmtId="0" fontId="1" fillId="8" borderId="6" xfId="0" applyFont="1" applyFill="1" applyBorder="1" applyAlignment="1">
      <alignment horizontal="center"/>
    </xf>
    <xf numFmtId="0" fontId="0" fillId="4" borderId="4" xfId="0" applyFont="1" applyFill="1" applyBorder="1"/>
    <xf numFmtId="164" fontId="0" fillId="0" borderId="0" xfId="0" applyNumberFormat="1"/>
    <xf numFmtId="165" fontId="0" fillId="0" borderId="0" xfId="0" applyNumberFormat="1"/>
    <xf numFmtId="43" fontId="0" fillId="0" borderId="0" xfId="0" applyNumberFormat="1"/>
    <xf numFmtId="166" fontId="0" fillId="0" borderId="0" xfId="0" applyNumberFormat="1"/>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left" vertical="center" indent="1"/>
    </xf>
    <xf numFmtId="0" fontId="1" fillId="0" borderId="0" xfId="0" applyFont="1" applyAlignment="1">
      <alignment horizontal="left" vertical="center" indent="1"/>
    </xf>
    <xf numFmtId="0" fontId="1"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1" fillId="0" borderId="0" xfId="0" applyFont="1"/>
    <xf numFmtId="8" fontId="0" fillId="0" borderId="0" xfId="0" applyNumberFormat="1" applyAlignment="1">
      <alignment vertical="center" wrapText="1"/>
    </xf>
    <xf numFmtId="8" fontId="1" fillId="0" borderId="0" xfId="0" applyNumberFormat="1" applyFont="1" applyAlignment="1">
      <alignment vertical="center" wrapText="1"/>
    </xf>
    <xf numFmtId="0" fontId="0" fillId="4" borderId="8" xfId="0" applyFont="1" applyFill="1" applyBorder="1"/>
    <xf numFmtId="0" fontId="3" fillId="2" borderId="9" xfId="0" applyFont="1" applyFill="1" applyBorder="1" applyAlignment="1">
      <alignment horizontal="center" vertical="top"/>
    </xf>
    <xf numFmtId="171" fontId="0" fillId="0" borderId="0" xfId="0" applyNumberFormat="1"/>
    <xf numFmtId="6" fontId="0" fillId="0" borderId="0" xfId="0" applyNumberFormat="1" applyAlignment="1">
      <alignment vertical="center" wrapText="1"/>
    </xf>
    <xf numFmtId="0" fontId="10" fillId="0" borderId="0" xfId="0" applyFont="1" applyAlignment="1">
      <alignment horizontal="left" vertical="center" indent="1"/>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left" vertical="center" indent="2"/>
    </xf>
    <xf numFmtId="0" fontId="1" fillId="0" borderId="0" xfId="0" applyFont="1" applyAlignment="1">
      <alignment horizontal="left" vertical="center" indent="2"/>
    </xf>
  </cellXfs>
  <cellStyles count="4">
    <cellStyle name="Comma" xfId="1" builtinId="3"/>
    <cellStyle name="Currency" xfId="2" builtinId="4"/>
    <cellStyle name="Normal" xfId="0" builtinId="0"/>
    <cellStyle name="Percent" xfId="3" builtinId="5"/>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top" textRotation="0" wrapText="0" indent="0" justifyLastLine="0" shrinkToFit="0" readingOrder="0"/>
      <border diagonalUp="0" diagonalDown="0" outline="0">
        <left style="thin">
          <color auto="1"/>
        </left>
        <right style="thin">
          <color auto="1"/>
        </right>
        <top/>
        <bottom/>
      </border>
    </dxf>
    <dxf>
      <numFmt numFmtId="0" formatCode="General"/>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205</xdr:row>
      <xdr:rowOff>0</xdr:rowOff>
    </xdr:from>
    <xdr:to>
      <xdr:col>3</xdr:col>
      <xdr:colOff>2345761</xdr:colOff>
      <xdr:row>210</xdr:row>
      <xdr:rowOff>123970</xdr:rowOff>
    </xdr:to>
    <xdr:pic>
      <xdr:nvPicPr>
        <xdr:cNvPr id="2" name="Picture 1">
          <a:extLst>
            <a:ext uri="{FF2B5EF4-FFF2-40B4-BE49-F238E27FC236}">
              <a16:creationId xmlns:a16="http://schemas.microsoft.com/office/drawing/2014/main" id="{7197B31F-F86D-A84F-312F-E9E7CE60CC10}"/>
            </a:ext>
          </a:extLst>
        </xdr:cNvPr>
        <xdr:cNvPicPr>
          <a:picLocks noChangeAspect="1"/>
        </xdr:cNvPicPr>
      </xdr:nvPicPr>
      <xdr:blipFill>
        <a:blip xmlns:r="http://schemas.openxmlformats.org/officeDocument/2006/relationships" r:embed="rId1"/>
        <a:stretch>
          <a:fillRect/>
        </a:stretch>
      </xdr:blipFill>
      <xdr:spPr>
        <a:xfrm>
          <a:off x="609600" y="50131980"/>
          <a:ext cx="5058481" cy="1038370"/>
        </a:xfrm>
        <a:prstGeom prst="rect">
          <a:avLst/>
        </a:prstGeom>
      </xdr:spPr>
    </xdr:pic>
    <xdr:clientData/>
  </xdr:twoCellAnchor>
  <xdr:twoCellAnchor editAs="oneCell">
    <xdr:from>
      <xdr:col>1</xdr:col>
      <xdr:colOff>22860</xdr:colOff>
      <xdr:row>344</xdr:row>
      <xdr:rowOff>60960</xdr:rowOff>
    </xdr:from>
    <xdr:to>
      <xdr:col>4</xdr:col>
      <xdr:colOff>183646</xdr:colOff>
      <xdr:row>349</xdr:row>
      <xdr:rowOff>127772</xdr:rowOff>
    </xdr:to>
    <xdr:pic>
      <xdr:nvPicPr>
        <xdr:cNvPr id="3" name="Picture 2">
          <a:extLst>
            <a:ext uri="{FF2B5EF4-FFF2-40B4-BE49-F238E27FC236}">
              <a16:creationId xmlns:a16="http://schemas.microsoft.com/office/drawing/2014/main" id="{7339463F-515E-C660-1344-FF59A06B186C}"/>
            </a:ext>
          </a:extLst>
        </xdr:cNvPr>
        <xdr:cNvPicPr>
          <a:picLocks noChangeAspect="1"/>
        </xdr:cNvPicPr>
      </xdr:nvPicPr>
      <xdr:blipFill>
        <a:blip xmlns:r="http://schemas.openxmlformats.org/officeDocument/2006/relationships" r:embed="rId2"/>
        <a:stretch>
          <a:fillRect/>
        </a:stretch>
      </xdr:blipFill>
      <xdr:spPr>
        <a:xfrm>
          <a:off x="632460" y="80230980"/>
          <a:ext cx="5487166" cy="981212"/>
        </a:xfrm>
        <a:prstGeom prst="rect">
          <a:avLst/>
        </a:prstGeom>
      </xdr:spPr>
    </xdr:pic>
    <xdr:clientData/>
  </xdr:twoCellAnchor>
  <xdr:twoCellAnchor editAs="oneCell">
    <xdr:from>
      <xdr:col>1</xdr:col>
      <xdr:colOff>0</xdr:colOff>
      <xdr:row>364</xdr:row>
      <xdr:rowOff>0</xdr:rowOff>
    </xdr:from>
    <xdr:to>
      <xdr:col>2</xdr:col>
      <xdr:colOff>1634860</xdr:colOff>
      <xdr:row>368</xdr:row>
      <xdr:rowOff>173481</xdr:rowOff>
    </xdr:to>
    <xdr:pic>
      <xdr:nvPicPr>
        <xdr:cNvPr id="4" name="Picture 3">
          <a:extLst>
            <a:ext uri="{FF2B5EF4-FFF2-40B4-BE49-F238E27FC236}">
              <a16:creationId xmlns:a16="http://schemas.microsoft.com/office/drawing/2014/main" id="{5CB41146-DC86-E062-A88E-65003D6022D0}"/>
            </a:ext>
          </a:extLst>
        </xdr:cNvPr>
        <xdr:cNvPicPr>
          <a:picLocks noChangeAspect="1"/>
        </xdr:cNvPicPr>
      </xdr:nvPicPr>
      <xdr:blipFill>
        <a:blip xmlns:r="http://schemas.openxmlformats.org/officeDocument/2006/relationships" r:embed="rId3"/>
        <a:stretch>
          <a:fillRect/>
        </a:stretch>
      </xdr:blipFill>
      <xdr:spPr>
        <a:xfrm>
          <a:off x="609600" y="83873340"/>
          <a:ext cx="2648320" cy="905001"/>
        </a:xfrm>
        <a:prstGeom prst="rect">
          <a:avLst/>
        </a:prstGeom>
      </xdr:spPr>
    </xdr:pic>
    <xdr:clientData/>
  </xdr:twoCellAnchor>
  <xdr:twoCellAnchor editAs="oneCell">
    <xdr:from>
      <xdr:col>1</xdr:col>
      <xdr:colOff>30480</xdr:colOff>
      <xdr:row>414</xdr:row>
      <xdr:rowOff>91440</xdr:rowOff>
    </xdr:from>
    <xdr:to>
      <xdr:col>6</xdr:col>
      <xdr:colOff>449580</xdr:colOff>
      <xdr:row>437</xdr:row>
      <xdr:rowOff>132514</xdr:rowOff>
    </xdr:to>
    <xdr:pic>
      <xdr:nvPicPr>
        <xdr:cNvPr id="5" name="Picture 4">
          <a:extLst>
            <a:ext uri="{FF2B5EF4-FFF2-40B4-BE49-F238E27FC236}">
              <a16:creationId xmlns:a16="http://schemas.microsoft.com/office/drawing/2014/main" id="{68C41E6C-CFA1-1B76-6B04-071837017314}"/>
            </a:ext>
          </a:extLst>
        </xdr:cNvPr>
        <xdr:cNvPicPr>
          <a:picLocks noChangeAspect="1"/>
        </xdr:cNvPicPr>
      </xdr:nvPicPr>
      <xdr:blipFill>
        <a:blip xmlns:r="http://schemas.openxmlformats.org/officeDocument/2006/relationships" r:embed="rId4"/>
        <a:stretch>
          <a:fillRect/>
        </a:stretch>
      </xdr:blipFill>
      <xdr:spPr>
        <a:xfrm>
          <a:off x="640080" y="97406460"/>
          <a:ext cx="6964680" cy="42473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FDF51-66E9-4719-B853-8A14913D0B31}" name="Table1" displayName="Table1" ref="B4:F25" totalsRowShown="0" headerRowDxfId="25" headerRowBorderDxfId="24" tableBorderDxfId="23">
  <autoFilter ref="B4:F25" xr:uid="{AD9FDF51-66E9-4719-B853-8A14913D0B31}"/>
  <tableColumns count="5">
    <tableColumn id="1" xr3:uid="{E9F6E095-4DCE-4F2B-B086-6BBC12D3B3CA}" name="Metric"/>
    <tableColumn id="4" xr3:uid="{E7DFAE4D-0C91-4A0C-9E96-2BF59458307E}" name="Value Phase 1" dataDxfId="22"/>
    <tableColumn id="5" xr3:uid="{044725F3-CA0E-4187-850E-22CFDD2D91E9}" name="Value Phase 2" dataDxfId="21"/>
    <tableColumn id="2" xr3:uid="{A9FC8C92-8F76-4302-99DA-1B5AC9E4B13A}" name="Value Phase 3" dataDxfId="20"/>
    <tableColumn id="3" xr3:uid="{9D98849D-F1D8-431E-A207-862EF493CA6E}" name="Justificatio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9523FC-9ADD-4DDF-AA47-67C7AB96DD3D}" name="Table4" displayName="Table4" ref="B32:C38" totalsRowShown="0">
  <autoFilter ref="B32:C38" xr:uid="{E69523FC-9ADD-4DDF-AA47-67C7AB96DD3D}"/>
  <tableColumns count="2">
    <tableColumn id="1" xr3:uid="{8E897EC5-B17E-4E58-994A-6AF11DE7830C}" name="Metric"/>
    <tableColumn id="2" xr3:uid="{4B746C6E-587C-4010-A891-CD955CB7118C}" name="Formula"/>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89A9C7-1B7D-4867-A5D4-474723CD87FB}" name="Table2" displayName="Table2" ref="B3:AL21" totalsRowShown="0" headerRowDxfId="19" headerRowBorderDxfId="18" tableBorderDxfId="17">
  <autoFilter ref="B3:AL21" xr:uid="{9389A9C7-1B7D-4867-A5D4-474723CD87FB}"/>
  <tableColumns count="37">
    <tableColumn id="1" xr3:uid="{E9025049-BA86-4541-84F9-5C5199342D42}" name="Metric"/>
    <tableColumn id="2" xr3:uid="{7C7AA4A4-1F0A-419A-9ACE-B8CF067B8D75}" name="Month 1"/>
    <tableColumn id="3" xr3:uid="{BF686041-028A-45BD-8FBC-70055382B1FD}" name="Month 2" dataDxfId="16">
      <calculatedColumnFormula>C5</calculatedColumnFormula>
    </tableColumn>
    <tableColumn id="4" xr3:uid="{3BF5CB09-30D9-4651-9A29-76E5196CF5C3}" name="Month 3"/>
    <tableColumn id="5" xr3:uid="{9BB839AB-532E-405C-B3CB-7B4CAA2F039E}" name="Month 4"/>
    <tableColumn id="6" xr3:uid="{D9999845-B435-443F-BD4F-E13836858A3F}" name="Month 5"/>
    <tableColumn id="7" xr3:uid="{2D590BB6-B32D-4A48-B91D-757D9B8E3314}" name="Month 6"/>
    <tableColumn id="8" xr3:uid="{A96A51D8-3749-4BCB-88F3-7A3BEF963B33}" name="Month 7"/>
    <tableColumn id="9" xr3:uid="{15E515E9-A1DB-4571-90EE-B720D51742AE}" name="Month 8"/>
    <tableColumn id="10" xr3:uid="{6D4F0839-21B8-438D-B40A-53E8F65F0F5E}" name="Month 9"/>
    <tableColumn id="11" xr3:uid="{3859BB74-3589-4E8E-AD7F-228539EBD056}" name="Month 10"/>
    <tableColumn id="12" xr3:uid="{D6ED7F77-D36A-4135-898D-58E5CE187ED5}" name="Month 11"/>
    <tableColumn id="13" xr3:uid="{6A00171C-FBA1-492A-8F4B-9896AC38CDAC}" name="Month 12"/>
    <tableColumn id="14" xr3:uid="{59AD42F6-96E7-4B22-AAFF-DEBBE881DACB}" name="Month 13"/>
    <tableColumn id="15" xr3:uid="{F657066F-EF28-43E7-B474-EFF679F16514}" name="Month 14"/>
    <tableColumn id="16" xr3:uid="{E19EAF04-84B5-4AE2-A352-2A6380C0BC47}" name="Month 15"/>
    <tableColumn id="17" xr3:uid="{D553C33E-6432-4302-93EC-37442A63797B}" name="Month 16"/>
    <tableColumn id="18" xr3:uid="{56B386A7-01F1-466A-9B9D-2948E3515928}" name="Month 17"/>
    <tableColumn id="19" xr3:uid="{20089C89-828B-4F52-A7F6-B7C5E2FDCBC3}" name="Month 18"/>
    <tableColumn id="20" xr3:uid="{94CD0612-3582-4761-A186-B613DA98603D}" name="Month 19"/>
    <tableColumn id="21" xr3:uid="{F77AC21F-FEFC-4566-B1E3-13EDE08A6D5C}" name="Month 20"/>
    <tableColumn id="22" xr3:uid="{3511A134-BAC3-4F2B-855B-5D6A8DE5E852}" name="Month 21"/>
    <tableColumn id="23" xr3:uid="{427FB0EA-498D-4034-8F37-3C2DF47F55D4}" name="Month 22"/>
    <tableColumn id="24" xr3:uid="{013FA627-CFCF-4AE0-BB04-BD80EE196FF2}" name="Month 23"/>
    <tableColumn id="25" xr3:uid="{96329DC5-3196-438C-B6DD-AC1236A4619A}" name="Month 24"/>
    <tableColumn id="26" xr3:uid="{FFA5F87F-312D-4314-831C-111A3B648729}" name="Month 25"/>
    <tableColumn id="27" xr3:uid="{F5D51F61-C010-4438-8DD3-A07EA9E7AC73}" name="Month 26"/>
    <tableColumn id="28" xr3:uid="{17C93118-74D6-48F5-A83F-4E6C38A3A709}" name="Month 27"/>
    <tableColumn id="29" xr3:uid="{B3F5472B-1405-450E-B9DF-787B960457B1}" name="Month 28"/>
    <tableColumn id="30" xr3:uid="{5A21E840-B2D5-4777-BC70-3B22FB5F7D59}" name="Month 29"/>
    <tableColumn id="31" xr3:uid="{E4CD9230-0395-48C8-A350-491D22E844DA}" name="Month 30"/>
    <tableColumn id="32" xr3:uid="{F59F14C8-A23A-4199-91FE-BFF45A8FB229}" name="Month 31"/>
    <tableColumn id="33" xr3:uid="{0F5372B9-57D6-4741-83CC-711FA495E8E9}" name="Month 32"/>
    <tableColumn id="34" xr3:uid="{E0607A7F-709A-40CD-BFCF-8C2166BC30EE}" name="Month 33"/>
    <tableColumn id="35" xr3:uid="{6BC1FDF7-C771-4E34-B075-D4C00BC0E087}" name="Month 34"/>
    <tableColumn id="36" xr3:uid="{17C45937-62E1-46B4-895D-C5925BA317E9}" name="Month 35"/>
    <tableColumn id="37" xr3:uid="{70DE2DC6-6411-4BFC-BCE9-10A2419CDF40}" name="Month 3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E224B59-7676-4EB7-9403-555A6FEA9148}" name="Table7" displayName="Table7" ref="B3:AL9" totalsRowShown="0" headerRowDxfId="15">
  <autoFilter ref="B3:AL9" xr:uid="{DE224B59-7676-4EB7-9403-555A6FEA9148}"/>
  <tableColumns count="37">
    <tableColumn id="1" xr3:uid="{1BE9242D-3748-45D0-9BE9-B1E4A3BF4626}" name="Metric"/>
    <tableColumn id="2" xr3:uid="{70DFC890-F7A0-428B-BD4F-6BEC4E0605D4}" name="Month 1"/>
    <tableColumn id="3" xr3:uid="{6C1317FA-3197-4207-8E72-A8A827F2A2B4}" name="Month 2"/>
    <tableColumn id="4" xr3:uid="{06DA7EDD-7176-417C-B8D8-315836D1C422}" name="Month 3"/>
    <tableColumn id="5" xr3:uid="{A70097C1-489D-4ECF-9228-17E7563FC232}" name="Month 4"/>
    <tableColumn id="6" xr3:uid="{36B2BAD7-5BD8-4103-86B0-D25F34C0AC1D}" name="Month 5"/>
    <tableColumn id="7" xr3:uid="{0D3147FE-6F66-4C0C-800A-4F457E968FB8}" name="Month 6"/>
    <tableColumn id="8" xr3:uid="{547233F0-59D4-498B-870D-47E131803BE7}" name="Month 7"/>
    <tableColumn id="9" xr3:uid="{59DBE50A-63B4-455B-8604-4B60AE57C389}" name="Month 8"/>
    <tableColumn id="10" xr3:uid="{D3794F96-6815-4DA0-AD03-8702FB1D0AC5}" name="Month 9"/>
    <tableColumn id="11" xr3:uid="{4BF27DBC-1BEC-4CE8-9060-B0263A810792}" name="Month 10"/>
    <tableColumn id="12" xr3:uid="{B6EBEF7E-F0A6-4400-BF56-7D97FF1FDF80}" name="Month 11"/>
    <tableColumn id="13" xr3:uid="{1DF1F2A3-883F-448E-BDF3-8172AD4364A3}" name="Month 12"/>
    <tableColumn id="14" xr3:uid="{50575547-CC2C-4F48-90E6-86AC4AFD24FE}" name="Month 13"/>
    <tableColumn id="15" xr3:uid="{4B5B56B4-3CC5-4ACE-A98B-66EE835D48A1}" name="Month 14"/>
    <tableColumn id="16" xr3:uid="{01735655-0857-45BE-8191-ABB2225CF20B}" name="Month 15"/>
    <tableColumn id="17" xr3:uid="{8017C997-8386-4E6A-BD0B-0AD2CB6C4664}" name="Month 16"/>
    <tableColumn id="18" xr3:uid="{9A81BA0C-50A2-4661-B79F-E8FABCD123FE}" name="Month 17"/>
    <tableColumn id="19" xr3:uid="{0F067656-0729-418A-BB27-5568A8B376D5}" name="Month 18"/>
    <tableColumn id="20" xr3:uid="{9F0D9B85-F4B1-4ED7-9916-333826747634}" name="Month 19"/>
    <tableColumn id="21" xr3:uid="{4C1589D6-29CA-462B-B216-9465A62737CA}" name="Month 20"/>
    <tableColumn id="22" xr3:uid="{063925ED-4AB6-42AE-B290-5D4435ECA57C}" name="Month 21"/>
    <tableColumn id="23" xr3:uid="{89486E68-4CD1-4AEF-9539-03B3C7F0B28A}" name="Month 22"/>
    <tableColumn id="24" xr3:uid="{059DE720-CB21-496A-BD69-91E6B83C4E92}" name="Month 23"/>
    <tableColumn id="25" xr3:uid="{59E52C7C-344C-4113-8C7A-840E27DE7BE4}" name="Month 24"/>
    <tableColumn id="26" xr3:uid="{C29254EB-9DEA-48A3-9741-B59D7DDF8956}" name="Month 25"/>
    <tableColumn id="27" xr3:uid="{25143CD1-CAEC-4F8D-BDD0-60F1D66AED3F}" name="Month 26"/>
    <tableColumn id="28" xr3:uid="{0E51EC47-848F-4EBD-BB9A-8759AC87A205}" name="Month 27"/>
    <tableColumn id="29" xr3:uid="{696970B9-2FF4-4678-949A-E4BB8B8B88A6}" name="Month 28"/>
    <tableColumn id="30" xr3:uid="{3E414843-A287-4C89-946F-783D638A719B}" name="Month 29"/>
    <tableColumn id="31" xr3:uid="{742256E5-2F20-43E9-86C3-E91E31374EFB}" name="Month 30"/>
    <tableColumn id="32" xr3:uid="{0E5EF348-705C-40F4-83D6-2638C956D7B7}" name="Month 31"/>
    <tableColumn id="33" xr3:uid="{BDEC4C2D-FBC8-4BBC-A9B3-D7CDA8B32145}" name="Month 32"/>
    <tableColumn id="34" xr3:uid="{FBE88D49-27C3-4C3E-98AF-65B7FD7ACB0D}" name="Month 33"/>
    <tableColumn id="35" xr3:uid="{9E0E2205-5A77-4249-B272-BA4FEB6B979F}" name="Month 34"/>
    <tableColumn id="36" xr3:uid="{3FC8AD3C-27B5-4559-81A1-D94D456B6AAE}" name="Month 35"/>
    <tableColumn id="37" xr3:uid="{EC77F406-76D1-457B-B965-DB11C7DA371E}" name="Month 3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88EBE80-FA92-4FFC-BB03-9A98AAC4CB75}" name="Table8" displayName="Table8" ref="B4:H20" totalsRowShown="0" headerRowDxfId="14" dataDxfId="13">
  <autoFilter ref="B4:H20" xr:uid="{988EBE80-FA92-4FFC-BB03-9A98AAC4CB75}"/>
  <tableColumns count="7">
    <tableColumn id="1" xr3:uid="{E35B1928-2B79-4921-9CDC-4F431B711338}" name="Metric" dataDxfId="12"/>
    <tableColumn id="2" xr3:uid="{E853EA47-B519-4ADD-9CAD-B353CD19F60C}" name="Year 1" dataDxfId="11"/>
    <tableColumn id="3" xr3:uid="{EED44ED8-68A1-4CF4-B08F-45D031E2F65C}" name="Year 2" dataDxfId="10"/>
    <tableColumn id="4" xr3:uid="{F42903C2-5CDD-4D76-9585-1967F8F8400B}" name="Year 3" dataDxfId="9"/>
    <tableColumn id="5" xr3:uid="{DD01E6DF-02DC-4307-B41A-5D1B7E271E88}" name="Year 4"/>
    <tableColumn id="6" xr3:uid="{212EDEDF-EE67-48D9-82CF-B9BE259389D7}" name="Year 5"/>
    <tableColumn id="7" xr3:uid="{47503A69-2751-4085-968E-76674B37CF0E}" name="TOTAL" dataDxfId="8"/>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2:F38"/>
  <sheetViews>
    <sheetView tabSelected="1" topLeftCell="A12" workbookViewId="0">
      <selection activeCell="C27" sqref="C27"/>
    </sheetView>
  </sheetViews>
  <sheetFormatPr defaultRowHeight="14.4" x14ac:dyDescent="0.3"/>
  <cols>
    <col min="2" max="2" width="55.6640625" bestFit="1" customWidth="1"/>
    <col min="3" max="3" width="44.6640625" style="6" bestFit="1" customWidth="1"/>
    <col min="4" max="5" width="17.109375" bestFit="1" customWidth="1"/>
    <col min="6" max="6" width="72.77734375" bestFit="1" customWidth="1"/>
  </cols>
  <sheetData>
    <row r="2" spans="2:6" ht="28.8" x14ac:dyDescent="0.55000000000000004">
      <c r="B2" s="10" t="s">
        <v>93</v>
      </c>
    </row>
    <row r="4" spans="2:6" x14ac:dyDescent="0.3">
      <c r="B4" s="1" t="s">
        <v>0</v>
      </c>
      <c r="C4" s="1" t="s">
        <v>94</v>
      </c>
      <c r="D4" s="1" t="s">
        <v>95</v>
      </c>
      <c r="E4" s="1" t="s">
        <v>96</v>
      </c>
      <c r="F4" s="1" t="s">
        <v>1</v>
      </c>
    </row>
    <row r="5" spans="2:6" x14ac:dyDescent="0.3">
      <c r="B5" t="s">
        <v>2</v>
      </c>
      <c r="C5" s="6">
        <v>200</v>
      </c>
      <c r="D5" s="47">
        <f>'36-month forecast'!K4</f>
        <v>2111</v>
      </c>
      <c r="E5" s="47">
        <f>'36-month forecast'!U4</f>
        <v>19666</v>
      </c>
      <c r="F5" t="s">
        <v>14</v>
      </c>
    </row>
    <row r="6" spans="2:6" x14ac:dyDescent="0.3">
      <c r="B6" t="s">
        <v>3</v>
      </c>
      <c r="C6" s="12">
        <v>0.4</v>
      </c>
      <c r="D6" s="12">
        <v>0.25</v>
      </c>
      <c r="E6" s="12">
        <v>0.15</v>
      </c>
      <c r="F6" t="s">
        <v>106</v>
      </c>
    </row>
    <row r="7" spans="2:6" x14ac:dyDescent="0.3">
      <c r="B7" t="s">
        <v>4</v>
      </c>
      <c r="C7" s="6">
        <v>30</v>
      </c>
      <c r="D7" s="6">
        <v>300</v>
      </c>
      <c r="E7" s="6">
        <v>800</v>
      </c>
      <c r="F7" t="s">
        <v>15</v>
      </c>
    </row>
    <row r="8" spans="2:6" x14ac:dyDescent="0.3">
      <c r="B8" t="s">
        <v>5</v>
      </c>
      <c r="C8" s="6">
        <v>20</v>
      </c>
      <c r="D8" s="6">
        <v>25</v>
      </c>
      <c r="E8" s="6">
        <v>40</v>
      </c>
      <c r="F8" t="s">
        <v>16</v>
      </c>
    </row>
    <row r="9" spans="2:6" x14ac:dyDescent="0.3">
      <c r="B9" t="s">
        <v>110</v>
      </c>
      <c r="C9" s="7">
        <v>0.4</v>
      </c>
      <c r="D9" s="7">
        <v>0.09</v>
      </c>
      <c r="E9" s="7">
        <v>0.08</v>
      </c>
      <c r="F9" t="s">
        <v>111</v>
      </c>
    </row>
    <row r="10" spans="2:6" x14ac:dyDescent="0.3">
      <c r="B10" t="s">
        <v>6</v>
      </c>
      <c r="C10" s="8">
        <v>15</v>
      </c>
      <c r="D10" s="8">
        <v>19</v>
      </c>
      <c r="E10" s="8">
        <v>23</v>
      </c>
      <c r="F10" t="s">
        <v>17</v>
      </c>
    </row>
    <row r="11" spans="2:6" x14ac:dyDescent="0.3">
      <c r="B11" t="s">
        <v>7</v>
      </c>
      <c r="C11" s="7">
        <v>0.2</v>
      </c>
      <c r="D11" s="7">
        <v>0.2</v>
      </c>
      <c r="E11" s="7">
        <v>0.2</v>
      </c>
      <c r="F11" t="s">
        <v>18</v>
      </c>
    </row>
    <row r="12" spans="2:6" x14ac:dyDescent="0.3">
      <c r="B12" t="s">
        <v>8</v>
      </c>
      <c r="C12" s="8">
        <v>1.5</v>
      </c>
      <c r="D12" s="8">
        <v>1.75</v>
      </c>
      <c r="E12" s="8">
        <v>2.25</v>
      </c>
      <c r="F12" t="s">
        <v>19</v>
      </c>
    </row>
    <row r="13" spans="2:6" x14ac:dyDescent="0.3">
      <c r="B13" t="s">
        <v>112</v>
      </c>
      <c r="C13" s="8">
        <v>0.01</v>
      </c>
      <c r="D13" s="8">
        <v>0.05</v>
      </c>
      <c r="E13" s="8">
        <v>0.1</v>
      </c>
      <c r="F13" t="s">
        <v>116</v>
      </c>
    </row>
    <row r="14" spans="2:6" x14ac:dyDescent="0.3">
      <c r="B14" t="s">
        <v>9</v>
      </c>
      <c r="C14" s="8">
        <v>5</v>
      </c>
      <c r="D14" s="8">
        <v>3.5</v>
      </c>
      <c r="E14" s="8">
        <v>4</v>
      </c>
      <c r="F14" t="s">
        <v>20</v>
      </c>
    </row>
    <row r="15" spans="2:6" x14ac:dyDescent="0.3">
      <c r="B15" t="s">
        <v>10</v>
      </c>
      <c r="C15" s="8">
        <v>5</v>
      </c>
      <c r="D15" s="8">
        <v>4.75</v>
      </c>
      <c r="E15" s="8">
        <v>4.25</v>
      </c>
      <c r="F15" t="s">
        <v>21</v>
      </c>
    </row>
    <row r="16" spans="2:6" x14ac:dyDescent="0.3">
      <c r="B16" t="s">
        <v>11</v>
      </c>
      <c r="C16" s="8">
        <v>2000</v>
      </c>
      <c r="D16" s="8">
        <v>3500</v>
      </c>
      <c r="E16" s="8">
        <v>4000</v>
      </c>
      <c r="F16" t="s">
        <v>22</v>
      </c>
    </row>
    <row r="17" spans="2:6" x14ac:dyDescent="0.3">
      <c r="B17" t="s">
        <v>12</v>
      </c>
      <c r="C17" s="8">
        <v>5000</v>
      </c>
      <c r="D17" s="8">
        <v>4000</v>
      </c>
      <c r="E17" s="8">
        <v>3500</v>
      </c>
      <c r="F17" t="s">
        <v>23</v>
      </c>
    </row>
    <row r="18" spans="2:6" x14ac:dyDescent="0.3">
      <c r="B18" t="s">
        <v>107</v>
      </c>
      <c r="C18" s="8">
        <v>3750</v>
      </c>
      <c r="D18" s="8">
        <v>3750</v>
      </c>
      <c r="E18" s="8">
        <v>3750</v>
      </c>
      <c r="F18" t="s">
        <v>24</v>
      </c>
    </row>
    <row r="19" spans="2:6" x14ac:dyDescent="0.3">
      <c r="B19" t="s">
        <v>108</v>
      </c>
      <c r="C19" s="8">
        <v>500</v>
      </c>
      <c r="D19" s="8">
        <v>500</v>
      </c>
      <c r="E19" s="8">
        <v>500</v>
      </c>
      <c r="F19" t="s">
        <v>109</v>
      </c>
    </row>
    <row r="20" spans="2:6" x14ac:dyDescent="0.3">
      <c r="B20" t="s">
        <v>27</v>
      </c>
      <c r="C20" s="6">
        <v>4</v>
      </c>
      <c r="D20" s="6">
        <v>4</v>
      </c>
      <c r="E20" s="6">
        <v>5</v>
      </c>
      <c r="F20" t="s">
        <v>278</v>
      </c>
    </row>
    <row r="21" spans="2:6" x14ac:dyDescent="0.3">
      <c r="B21" t="s">
        <v>274</v>
      </c>
      <c r="C21" s="6">
        <v>2</v>
      </c>
      <c r="D21" s="6">
        <v>15</v>
      </c>
      <c r="E21" s="6">
        <v>50</v>
      </c>
    </row>
    <row r="22" spans="2:6" x14ac:dyDescent="0.3">
      <c r="B22" t="s">
        <v>275</v>
      </c>
      <c r="C22" s="6">
        <v>2</v>
      </c>
      <c r="D22" s="6">
        <v>5</v>
      </c>
      <c r="E22" s="6">
        <v>20</v>
      </c>
    </row>
    <row r="23" spans="2:6" x14ac:dyDescent="0.3">
      <c r="B23" t="s">
        <v>276</v>
      </c>
      <c r="C23" s="6">
        <v>6</v>
      </c>
      <c r="D23" s="6">
        <v>7</v>
      </c>
      <c r="E23" s="6">
        <v>7</v>
      </c>
      <c r="F23" t="s">
        <v>279</v>
      </c>
    </row>
    <row r="24" spans="2:6" x14ac:dyDescent="0.3">
      <c r="B24" t="s">
        <v>277</v>
      </c>
      <c r="C24" s="6">
        <f>SUM(C21:C23)</f>
        <v>10</v>
      </c>
      <c r="D24" s="6">
        <f t="shared" ref="D24:E24" si="0">SUM(D21:D23)</f>
        <v>27</v>
      </c>
      <c r="E24" s="6">
        <f t="shared" si="0"/>
        <v>77</v>
      </c>
      <c r="F24" t="s">
        <v>25</v>
      </c>
    </row>
    <row r="25" spans="2:6" x14ac:dyDescent="0.3">
      <c r="B25" t="s">
        <v>13</v>
      </c>
      <c r="C25" s="6">
        <v>5</v>
      </c>
      <c r="D25" s="6">
        <v>20</v>
      </c>
      <c r="E25" s="6">
        <v>70</v>
      </c>
      <c r="F25" t="s">
        <v>26</v>
      </c>
    </row>
    <row r="30" spans="2:6" ht="28.8" x14ac:dyDescent="0.55000000000000004">
      <c r="B30" s="10" t="s">
        <v>91</v>
      </c>
    </row>
    <row r="32" spans="2:6" x14ac:dyDescent="0.3">
      <c r="B32" t="s">
        <v>0</v>
      </c>
      <c r="C32" s="6" t="s">
        <v>92</v>
      </c>
    </row>
    <row r="33" spans="2:3" x14ac:dyDescent="0.3">
      <c r="B33" t="s">
        <v>82</v>
      </c>
      <c r="C33" t="s">
        <v>119</v>
      </c>
    </row>
    <row r="34" spans="2:3" x14ac:dyDescent="0.3">
      <c r="B34" t="s">
        <v>83</v>
      </c>
      <c r="C34" t="s">
        <v>426</v>
      </c>
    </row>
    <row r="35" spans="2:3" ht="28.8" x14ac:dyDescent="0.3">
      <c r="B35" t="s">
        <v>90</v>
      </c>
      <c r="C35" s="48" t="s">
        <v>336</v>
      </c>
    </row>
    <row r="36" spans="2:3" x14ac:dyDescent="0.3">
      <c r="B36" t="s">
        <v>84</v>
      </c>
      <c r="C36" t="s">
        <v>85</v>
      </c>
    </row>
    <row r="37" spans="2:3" x14ac:dyDescent="0.3">
      <c r="B37" t="s">
        <v>86</v>
      </c>
      <c r="C37" t="s">
        <v>87</v>
      </c>
    </row>
    <row r="38" spans="2:3" x14ac:dyDescent="0.3">
      <c r="B38" t="s">
        <v>88</v>
      </c>
      <c r="C38" t="s">
        <v>89</v>
      </c>
    </row>
  </sheetData>
  <phoneticPr fontId="6" type="noConversion"/>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AAC-78E0-4895-8974-1A6940409E41}">
  <sheetPr>
    <tabColor theme="4"/>
  </sheetPr>
  <dimension ref="B2:AL27"/>
  <sheetViews>
    <sheetView topLeftCell="B1" zoomScaleNormal="85" workbookViewId="0">
      <pane xSplit="1" ySplit="20" topLeftCell="V49" activePane="bottomRight" state="frozen"/>
      <selection activeCell="B1" sqref="B1"/>
      <selection pane="topRight" activeCell="C1" sqref="C1"/>
      <selection pane="bottomLeft" activeCell="B21" sqref="B21"/>
      <selection pane="bottomRight" activeCell="AL4" sqref="AL4"/>
    </sheetView>
  </sheetViews>
  <sheetFormatPr defaultRowHeight="14.4" x14ac:dyDescent="0.3"/>
  <cols>
    <col min="2" max="2" width="20.44140625" bestFit="1" customWidth="1"/>
    <col min="3" max="38" width="26.5546875" customWidth="1"/>
  </cols>
  <sheetData>
    <row r="2" spans="2:38" x14ac:dyDescent="0.3">
      <c r="C2" s="24" t="s">
        <v>97</v>
      </c>
      <c r="D2" s="24"/>
      <c r="E2" s="24"/>
      <c r="F2" s="24"/>
      <c r="G2" s="24"/>
      <c r="H2" s="24"/>
      <c r="I2" s="24"/>
      <c r="J2" s="24"/>
      <c r="K2" s="25" t="s">
        <v>98</v>
      </c>
      <c r="L2" s="25"/>
      <c r="M2" s="25"/>
      <c r="N2" s="25"/>
      <c r="O2" s="25"/>
      <c r="P2" s="25"/>
      <c r="Q2" s="25"/>
      <c r="R2" s="25"/>
      <c r="S2" s="25"/>
      <c r="T2" s="25"/>
      <c r="U2" s="26" t="s">
        <v>99</v>
      </c>
      <c r="V2" s="26"/>
      <c r="W2" s="26"/>
      <c r="X2" s="26"/>
      <c r="Y2" s="26"/>
      <c r="Z2" s="26"/>
      <c r="AA2" s="26"/>
      <c r="AB2" s="26"/>
      <c r="AC2" s="26"/>
      <c r="AD2" s="26"/>
      <c r="AE2" s="26"/>
      <c r="AF2" s="26"/>
      <c r="AG2" s="26"/>
      <c r="AH2" s="26"/>
      <c r="AI2" s="26"/>
      <c r="AJ2" s="26"/>
      <c r="AK2" s="26"/>
      <c r="AL2" s="26"/>
    </row>
    <row r="3" spans="2:38" x14ac:dyDescent="0.3">
      <c r="B3" s="1" t="s">
        <v>0</v>
      </c>
      <c r="C3" s="1" t="s">
        <v>81</v>
      </c>
      <c r="D3" s="1" t="s">
        <v>80</v>
      </c>
      <c r="E3" s="1" t="s">
        <v>79</v>
      </c>
      <c r="F3" s="1" t="s">
        <v>78</v>
      </c>
      <c r="G3" s="1" t="s">
        <v>77</v>
      </c>
      <c r="H3" s="1" t="s">
        <v>76</v>
      </c>
      <c r="I3" s="1" t="s">
        <v>75</v>
      </c>
      <c r="J3" s="1" t="s">
        <v>74</v>
      </c>
      <c r="K3" s="1" t="s">
        <v>73</v>
      </c>
      <c r="L3" s="1" t="s">
        <v>72</v>
      </c>
      <c r="M3" s="1" t="s">
        <v>71</v>
      </c>
      <c r="N3" s="1" t="s">
        <v>70</v>
      </c>
      <c r="O3" s="1" t="s">
        <v>69</v>
      </c>
      <c r="P3" s="1" t="s">
        <v>68</v>
      </c>
      <c r="Q3" s="1" t="s">
        <v>67</v>
      </c>
      <c r="R3" s="1" t="s">
        <v>66</v>
      </c>
      <c r="S3" s="1" t="s">
        <v>65</v>
      </c>
      <c r="T3" s="1" t="s">
        <v>64</v>
      </c>
      <c r="U3" s="1" t="s">
        <v>63</v>
      </c>
      <c r="V3" s="1" t="s">
        <v>62</v>
      </c>
      <c r="W3" s="1" t="s">
        <v>61</v>
      </c>
      <c r="X3" s="1" t="s">
        <v>60</v>
      </c>
      <c r="Y3" s="1" t="s">
        <v>59</v>
      </c>
      <c r="Z3" s="1" t="s">
        <v>58</v>
      </c>
      <c r="AA3" s="1" t="s">
        <v>57</v>
      </c>
      <c r="AB3" s="1" t="s">
        <v>56</v>
      </c>
      <c r="AC3" s="1" t="s">
        <v>55</v>
      </c>
      <c r="AD3" s="1" t="s">
        <v>54</v>
      </c>
      <c r="AE3" s="1" t="s">
        <v>53</v>
      </c>
      <c r="AF3" s="1" t="s">
        <v>52</v>
      </c>
      <c r="AG3" s="1" t="s">
        <v>51</v>
      </c>
      <c r="AH3" s="1" t="s">
        <v>50</v>
      </c>
      <c r="AI3" s="1" t="s">
        <v>49</v>
      </c>
      <c r="AJ3" s="1" t="s">
        <v>48</v>
      </c>
      <c r="AK3" s="1" t="s">
        <v>47</v>
      </c>
      <c r="AL3" s="1" t="s">
        <v>46</v>
      </c>
    </row>
    <row r="4" spans="2:38" x14ac:dyDescent="0.3">
      <c r="B4" t="s">
        <v>45</v>
      </c>
      <c r="C4" s="14">
        <v>0</v>
      </c>
      <c r="D4" s="14">
        <f>ROUND(C5,0)</f>
        <v>200</v>
      </c>
      <c r="E4" s="14">
        <f>ROUND(Table2[[#This Row],[Month 2]]+D5,0)</f>
        <v>280</v>
      </c>
      <c r="F4" s="14">
        <f>ROUND(Table2[[#This Row],[Month 3]]+E5,0)</f>
        <v>392</v>
      </c>
      <c r="G4" s="14">
        <f>ROUND(Table2[[#This Row],[Month 4]]+F5,0)</f>
        <v>549</v>
      </c>
      <c r="H4" s="14">
        <f>ROUND(Table2[[#This Row],[Month 5]]+G5,0)</f>
        <v>769</v>
      </c>
      <c r="I4" s="14">
        <f>ROUND(Table2[[#This Row],[Month 6]]+H5,0)</f>
        <v>1077</v>
      </c>
      <c r="J4" s="14">
        <f>ROUND(Table2[[#This Row],[Month 7]]+I5,0)</f>
        <v>1508</v>
      </c>
      <c r="K4" s="14">
        <f>ROUND(Table2[[#This Row],[Month 8]]+J5,0)</f>
        <v>2111</v>
      </c>
      <c r="L4" s="14">
        <f>ROUND(Table2[[#This Row],[Month 9]]+K5,0)</f>
        <v>2639</v>
      </c>
      <c r="M4" s="14">
        <f>ROUND(Table2[[#This Row],[Month 10]]+L5,0)</f>
        <v>3299</v>
      </c>
      <c r="N4" s="14">
        <f>ROUND(Table2[[#This Row],[Month 11]]+M5,0)</f>
        <v>4124</v>
      </c>
      <c r="O4" s="14">
        <f>ROUND(Table2[[#This Row],[Month 12]]+N5,0)</f>
        <v>5155</v>
      </c>
      <c r="P4" s="14">
        <f>ROUND(Table2[[#This Row],[Month 13]]+O5,0)</f>
        <v>6444</v>
      </c>
      <c r="Q4" s="14">
        <f>ROUND(Table2[[#This Row],[Month 14]]+P5,0)</f>
        <v>8055</v>
      </c>
      <c r="R4" s="14">
        <f>ROUND(Table2[[#This Row],[Month 15]]+Q5,0)</f>
        <v>10069</v>
      </c>
      <c r="S4" s="14">
        <f>ROUND(Table2[[#This Row],[Month 16]]+R5,0)</f>
        <v>12586</v>
      </c>
      <c r="T4" s="14">
        <f>ROUND(Table2[[#This Row],[Month 17]]+S5,0)</f>
        <v>15733</v>
      </c>
      <c r="U4" s="14">
        <f>ROUND(Table2[[#This Row],[Month 18]]+T5,0)</f>
        <v>19666</v>
      </c>
      <c r="V4" s="14">
        <f>ROUND(Table2[[#This Row],[Month 19]]+U5,0)</f>
        <v>22616</v>
      </c>
      <c r="W4" s="14">
        <f>ROUND(Table2[[#This Row],[Month 20]]+V5,0)</f>
        <v>26008</v>
      </c>
      <c r="X4" s="14">
        <f>ROUND(Table2[[#This Row],[Month 21]]+W5,0)</f>
        <v>29909</v>
      </c>
      <c r="Y4" s="14">
        <f>ROUND(Table2[[#This Row],[Month 22]]+X5,0)</f>
        <v>34395</v>
      </c>
      <c r="Z4" s="14">
        <f>ROUND(Table2[[#This Row],[Month 23]]+Y5,0)</f>
        <v>39554</v>
      </c>
      <c r="AA4" s="14">
        <f>ROUND(Table2[[#This Row],[Month 24]]+Z5,0)</f>
        <v>45487</v>
      </c>
      <c r="AB4" s="14">
        <f>ROUND(Table2[[#This Row],[Month 25]]+AA5,0)</f>
        <v>52310</v>
      </c>
      <c r="AC4" s="14">
        <f>ROUND(Table2[[#This Row],[Month 26]]+AB5,0)</f>
        <v>60157</v>
      </c>
      <c r="AD4" s="14">
        <f>ROUND(Table2[[#This Row],[Month 27]]+AC5,0)</f>
        <v>69181</v>
      </c>
      <c r="AE4" s="14">
        <f>ROUND(Table2[[#This Row],[Month 28]]+AD5,0)</f>
        <v>79558</v>
      </c>
      <c r="AF4" s="14">
        <f>ROUND(Table2[[#This Row],[Month 29]]+AE5,0)</f>
        <v>91492</v>
      </c>
      <c r="AG4" s="14">
        <f>ROUND(Table2[[#This Row],[Month 30]]+AF5,0)</f>
        <v>105216</v>
      </c>
      <c r="AH4" s="14">
        <f>ROUND(Table2[[#This Row],[Month 31]]+AG5,0)</f>
        <v>120998</v>
      </c>
      <c r="AI4" s="14">
        <f>ROUND(Table2[[#This Row],[Month 32]]+AH5,0)</f>
        <v>139148</v>
      </c>
      <c r="AJ4" s="14">
        <f>ROUND(Table2[[#This Row],[Month 33]]+AI5,0)</f>
        <v>160020</v>
      </c>
      <c r="AK4" s="14">
        <f>ROUND(Table2[[#This Row],[Month 34]]+AJ5,0)</f>
        <v>184023</v>
      </c>
      <c r="AL4" s="14">
        <f>ROUND(Table2[[#This Row],[Month 35]]+AK5,0)</f>
        <v>211626</v>
      </c>
    </row>
    <row r="5" spans="2:38" x14ac:dyDescent="0.3">
      <c r="B5" t="s">
        <v>44</v>
      </c>
      <c r="C5" s="14">
        <f>Table1[[#This Row],[Value Phase 1]]</f>
        <v>200</v>
      </c>
      <c r="D5" s="14">
        <f>ROUND(D4*Assumptions!$C$6,0)</f>
        <v>80</v>
      </c>
      <c r="E5" s="14">
        <f>ROUND(E4*Assumptions!$C$6,0)</f>
        <v>112</v>
      </c>
      <c r="F5" s="14">
        <f>ROUND(F4*Assumptions!$C$6,0)</f>
        <v>157</v>
      </c>
      <c r="G5" s="14">
        <f>ROUND(G4*Assumptions!$C$6,0)</f>
        <v>220</v>
      </c>
      <c r="H5" s="14">
        <f>ROUND(H4*Assumptions!$C$6,0)</f>
        <v>308</v>
      </c>
      <c r="I5" s="14">
        <f>ROUND(I4*Assumptions!$C$6,0)</f>
        <v>431</v>
      </c>
      <c r="J5" s="14">
        <f>ROUND(J4*Assumptions!$C$6,0)</f>
        <v>603</v>
      </c>
      <c r="K5" s="14">
        <f>ROUND(K4*Assumptions!$D$6,0)</f>
        <v>528</v>
      </c>
      <c r="L5" s="14">
        <f>ROUND(L4*Assumptions!$D$6,0)</f>
        <v>660</v>
      </c>
      <c r="M5" s="14">
        <f>ROUND(M4*Assumptions!$D$6,0)</f>
        <v>825</v>
      </c>
      <c r="N5" s="14">
        <f>ROUND(N4*Assumptions!$D$6,0)</f>
        <v>1031</v>
      </c>
      <c r="O5" s="14">
        <f>ROUND(O4*Assumptions!$D$6,0)</f>
        <v>1289</v>
      </c>
      <c r="P5" s="14">
        <f>ROUND(P4*Assumptions!$D$6,0)</f>
        <v>1611</v>
      </c>
      <c r="Q5" s="14">
        <f>ROUND(Q4*Assumptions!$D$6,0)</f>
        <v>2014</v>
      </c>
      <c r="R5" s="14">
        <f>ROUND(R4*Assumptions!$D$6,0)</f>
        <v>2517</v>
      </c>
      <c r="S5" s="14">
        <f>ROUND(S4*Assumptions!$D$6,0)</f>
        <v>3147</v>
      </c>
      <c r="T5" s="14">
        <f>ROUND(T4*Assumptions!$D$6,0)</f>
        <v>3933</v>
      </c>
      <c r="U5" s="14">
        <f>ROUND(U4*Assumptions!$E$6,0)</f>
        <v>2950</v>
      </c>
      <c r="V5" s="14">
        <f>ROUND(V4*Assumptions!$E$6,0)</f>
        <v>3392</v>
      </c>
      <c r="W5" s="14">
        <f>ROUND(W4*Assumptions!$E$6,0)</f>
        <v>3901</v>
      </c>
      <c r="X5" s="14">
        <f>ROUND(X4*Assumptions!$E$6,0)</f>
        <v>4486</v>
      </c>
      <c r="Y5" s="14">
        <f>ROUND(Y4*Assumptions!$E$6,0)</f>
        <v>5159</v>
      </c>
      <c r="Z5" s="14">
        <f>ROUND(Z4*Assumptions!$E$6,0)</f>
        <v>5933</v>
      </c>
      <c r="AA5" s="14">
        <f>ROUND(AA4*Assumptions!$E$6,0)</f>
        <v>6823</v>
      </c>
      <c r="AB5" s="14">
        <f>ROUND(AB4*Assumptions!$E$6,0)</f>
        <v>7847</v>
      </c>
      <c r="AC5" s="14">
        <f>ROUND(AC4*Assumptions!$E$6,0)</f>
        <v>9024</v>
      </c>
      <c r="AD5" s="14">
        <f>ROUND(AD4*Assumptions!$E$6,0)</f>
        <v>10377</v>
      </c>
      <c r="AE5" s="14">
        <f>ROUND(AE4*Assumptions!$E$6,0)</f>
        <v>11934</v>
      </c>
      <c r="AF5" s="14">
        <f>ROUND(AF4*Assumptions!$E$6,0)</f>
        <v>13724</v>
      </c>
      <c r="AG5" s="14">
        <f>ROUND(AG4*Assumptions!$E$6,0)</f>
        <v>15782</v>
      </c>
      <c r="AH5" s="14">
        <f>ROUND(AH4*Assumptions!$E$6,0)</f>
        <v>18150</v>
      </c>
      <c r="AI5" s="14">
        <f>ROUND(AI4*Assumptions!$E$6,0)</f>
        <v>20872</v>
      </c>
      <c r="AJ5" s="14">
        <f>ROUND(AJ4*Assumptions!$E$6,0)</f>
        <v>24003</v>
      </c>
      <c r="AK5" s="14">
        <f>ROUND(AK4*Assumptions!$E$6,0)</f>
        <v>27603</v>
      </c>
      <c r="AL5" s="14">
        <f>ROUND(AL4*Assumptions!$E$6,0)</f>
        <v>31744</v>
      </c>
    </row>
    <row r="6" spans="2:38" x14ac:dyDescent="0.3">
      <c r="B6" t="s">
        <v>43</v>
      </c>
      <c r="C6" s="13">
        <f>C5*Assumptions!$C$14</f>
        <v>1000</v>
      </c>
      <c r="D6" s="13">
        <f>D5*Assumptions!$C$14</f>
        <v>400</v>
      </c>
      <c r="E6" s="13">
        <f>E5*Assumptions!$C$14</f>
        <v>560</v>
      </c>
      <c r="F6" s="13">
        <f>F5*Assumptions!$C$14</f>
        <v>785</v>
      </c>
      <c r="G6" s="13">
        <f>G5*Assumptions!$C$14</f>
        <v>1100</v>
      </c>
      <c r="H6" s="13">
        <f>H5*Assumptions!$C$14</f>
        <v>1540</v>
      </c>
      <c r="I6" s="13">
        <f>I5*Assumptions!$C$14</f>
        <v>2155</v>
      </c>
      <c r="J6" s="13">
        <f>J5*Assumptions!$C$14</f>
        <v>3015</v>
      </c>
      <c r="K6" s="13">
        <f>K5*Assumptions!$D$14</f>
        <v>1848</v>
      </c>
      <c r="L6" s="13">
        <f>L5*Assumptions!$D$14</f>
        <v>2310</v>
      </c>
      <c r="M6" s="13">
        <f>M5*Assumptions!$D$14</f>
        <v>2887.5</v>
      </c>
      <c r="N6" s="13">
        <f>N5*Assumptions!$D$14</f>
        <v>3608.5</v>
      </c>
      <c r="O6" s="13">
        <f>O5*Assumptions!$D$14</f>
        <v>4511.5</v>
      </c>
      <c r="P6" s="13">
        <f>P5*Assumptions!$D$14</f>
        <v>5638.5</v>
      </c>
      <c r="Q6" s="13">
        <f>Q5*Assumptions!$D$14</f>
        <v>7049</v>
      </c>
      <c r="R6" s="13">
        <f>R5*Assumptions!$D$14</f>
        <v>8809.5</v>
      </c>
      <c r="S6" s="13">
        <f>S5*Assumptions!$D$14</f>
        <v>11014.5</v>
      </c>
      <c r="T6" s="13">
        <f>T5*Assumptions!$D$14</f>
        <v>13765.5</v>
      </c>
      <c r="U6" s="13">
        <f>U5*Assumptions!$E$14</f>
        <v>11800</v>
      </c>
      <c r="V6" s="13">
        <f>V5*Assumptions!$E$14</f>
        <v>13568</v>
      </c>
      <c r="W6" s="13">
        <f>W5*Assumptions!$E$14</f>
        <v>15604</v>
      </c>
      <c r="X6" s="13">
        <f>X5*Assumptions!$E$14</f>
        <v>17944</v>
      </c>
      <c r="Y6" s="13">
        <f>Y5*Assumptions!$E$14</f>
        <v>20636</v>
      </c>
      <c r="Z6" s="13">
        <f>Z5*Assumptions!$E$14</f>
        <v>23732</v>
      </c>
      <c r="AA6" s="13">
        <f>AA5*Assumptions!$E$14</f>
        <v>27292</v>
      </c>
      <c r="AB6" s="13">
        <f>AB5*Assumptions!$E$14</f>
        <v>31388</v>
      </c>
      <c r="AC6" s="13">
        <f>AC5*Assumptions!$E$14</f>
        <v>36096</v>
      </c>
      <c r="AD6" s="13">
        <f>AD5*Assumptions!$E$14</f>
        <v>41508</v>
      </c>
      <c r="AE6" s="13">
        <f>AE5*Assumptions!$E$14</f>
        <v>47736</v>
      </c>
      <c r="AF6" s="13">
        <f>AF5*Assumptions!$E$14</f>
        <v>54896</v>
      </c>
      <c r="AG6" s="13">
        <f>AG5*Assumptions!$E$14</f>
        <v>63128</v>
      </c>
      <c r="AH6" s="13">
        <f>AH5*Assumptions!$E$14</f>
        <v>72600</v>
      </c>
      <c r="AI6" s="13">
        <f>AI5*Assumptions!$E$14</f>
        <v>83488</v>
      </c>
      <c r="AJ6" s="13">
        <f>AJ5*Assumptions!$E$14</f>
        <v>96012</v>
      </c>
      <c r="AK6" s="13">
        <f>AK5*Assumptions!$E$14</f>
        <v>110412</v>
      </c>
      <c r="AL6" s="13">
        <f>AL5*Assumptions!$E$14</f>
        <v>126976</v>
      </c>
    </row>
    <row r="7" spans="2:38" x14ac:dyDescent="0.3">
      <c r="B7" t="s">
        <v>42</v>
      </c>
      <c r="C7" s="14">
        <f>Table1[[#This Row],[Value Phase 1]]</f>
        <v>30</v>
      </c>
      <c r="D7" s="14">
        <f>ROUND(Table2[[#This Row],[Month 1]]+(Table2[[#This Row],[Month 1]]*Assumptions!$C$9),0)</f>
        <v>42</v>
      </c>
      <c r="E7" s="14">
        <f>ROUND(Table2[[#This Row],[Month 2]]+(Table2[[#This Row],[Month 2]]*Assumptions!$C$9),0)</f>
        <v>59</v>
      </c>
      <c r="F7" s="14">
        <f>ROUND(Table2[[#This Row],[Month 3]]+(Table2[[#This Row],[Month 3]]*Assumptions!$C$9),0)</f>
        <v>83</v>
      </c>
      <c r="G7" s="14">
        <f>ROUND(Table2[[#This Row],[Month 4]]+(Table2[[#This Row],[Month 4]]*Assumptions!$C$9),0)</f>
        <v>116</v>
      </c>
      <c r="H7" s="14">
        <f>ROUND(Table2[[#This Row],[Month 5]]+(Table2[[#This Row],[Month 5]]*Assumptions!$C$9),0)</f>
        <v>162</v>
      </c>
      <c r="I7" s="14">
        <f>ROUND(Table2[[#This Row],[Month 6]]+(Table2[[#This Row],[Month 6]]*Assumptions!$C$9),0)</f>
        <v>227</v>
      </c>
      <c r="J7" s="14">
        <f>ROUND(Table2[[#This Row],[Month 7]]+(Table2[[#This Row],[Month 7]]*Assumptions!$C$9),0)</f>
        <v>318</v>
      </c>
      <c r="K7" s="14">
        <f>ROUND(Table2[[#This Row],[Month 8]]+(Table2[[#This Row],[Month 8]]*Assumptions!$D$9),0)</f>
        <v>347</v>
      </c>
      <c r="L7" s="14">
        <f>ROUND(Table2[[#This Row],[Month 9]]+(Table2[[#This Row],[Month 9]]*Assumptions!$D$9),0)</f>
        <v>378</v>
      </c>
      <c r="M7" s="14">
        <f>ROUND(Table2[[#This Row],[Month 10]]+(Table2[[#This Row],[Month 10]]*Assumptions!$D$9),0)</f>
        <v>412</v>
      </c>
      <c r="N7" s="14">
        <f>ROUND(Table2[[#This Row],[Month 11]]+(Table2[[#This Row],[Month 11]]*Assumptions!$D$9),0)</f>
        <v>449</v>
      </c>
      <c r="O7" s="14">
        <f>ROUND(Table2[[#This Row],[Month 12]]+(Table2[[#This Row],[Month 12]]*Assumptions!$D$9),0)</f>
        <v>489</v>
      </c>
      <c r="P7" s="14">
        <f>ROUND(Table2[[#This Row],[Month 13]]+(Table2[[#This Row],[Month 13]]*Assumptions!$D$9),0)</f>
        <v>533</v>
      </c>
      <c r="Q7" s="14">
        <f>ROUND(Table2[[#This Row],[Month 14]]+(Table2[[#This Row],[Month 14]]*Assumptions!$D$9),0)</f>
        <v>581</v>
      </c>
      <c r="R7" s="14">
        <f>ROUND(Table2[[#This Row],[Month 15]]+(Table2[[#This Row],[Month 15]]*Assumptions!$D$9),0)</f>
        <v>633</v>
      </c>
      <c r="S7" s="14">
        <f>ROUND(Table2[[#This Row],[Month 16]]+(Table2[[#This Row],[Month 16]]*Assumptions!$D$9),0)</f>
        <v>690</v>
      </c>
      <c r="T7" s="14">
        <f>ROUND(Table2[[#This Row],[Month 17]]+(Table2[[#This Row],[Month 17]]*Assumptions!$D$9),0)</f>
        <v>752</v>
      </c>
      <c r="U7" s="14">
        <f>ROUND(Table2[[#This Row],[Month 18]]+(Table2[[#This Row],[Month 18]]*Assumptions!$E$9),0)</f>
        <v>812</v>
      </c>
      <c r="V7" s="14">
        <f>ROUND(Table2[[#This Row],[Month 19]]+(Table2[[#This Row],[Month 19]]*Assumptions!$E$9),0)</f>
        <v>877</v>
      </c>
      <c r="W7" s="14">
        <f>ROUND(Table2[[#This Row],[Month 20]]+(Table2[[#This Row],[Month 20]]*Assumptions!$E$9),0)</f>
        <v>947</v>
      </c>
      <c r="X7" s="14">
        <f>ROUND(Table2[[#This Row],[Month 21]]+(Table2[[#This Row],[Month 21]]*Assumptions!$E$9),0)</f>
        <v>1023</v>
      </c>
      <c r="Y7" s="14">
        <f>ROUND(Table2[[#This Row],[Month 22]]+(Table2[[#This Row],[Month 22]]*Assumptions!$E$9),0)</f>
        <v>1105</v>
      </c>
      <c r="Z7" s="14">
        <f>ROUND(Table2[[#This Row],[Month 23]]+(Table2[[#This Row],[Month 23]]*Assumptions!$E$9),0)</f>
        <v>1193</v>
      </c>
      <c r="AA7" s="14">
        <f>ROUND(Table2[[#This Row],[Month 24]]+(Table2[[#This Row],[Month 24]]*Assumptions!$E$9),0)</f>
        <v>1288</v>
      </c>
      <c r="AB7" s="14">
        <f>ROUND(Table2[[#This Row],[Month 25]]+(Table2[[#This Row],[Month 25]]*Assumptions!$E$9),0)</f>
        <v>1391</v>
      </c>
      <c r="AC7" s="14">
        <f>ROUND(Table2[[#This Row],[Month 26]]+(Table2[[#This Row],[Month 26]]*Assumptions!$E$9),0)</f>
        <v>1502</v>
      </c>
      <c r="AD7" s="14">
        <f>ROUND(Table2[[#This Row],[Month 27]]+(Table2[[#This Row],[Month 27]]*Assumptions!$E$9),0)</f>
        <v>1622</v>
      </c>
      <c r="AE7" s="14">
        <f>ROUND(Table2[[#This Row],[Month 28]]+(Table2[[#This Row],[Month 28]]*Assumptions!$E$9),0)</f>
        <v>1752</v>
      </c>
      <c r="AF7" s="14">
        <f>ROUND(Table2[[#This Row],[Month 29]]+(Table2[[#This Row],[Month 29]]*Assumptions!$E$9),0)</f>
        <v>1892</v>
      </c>
      <c r="AG7" s="14">
        <f>ROUND(Table2[[#This Row],[Month 30]]+(Table2[[#This Row],[Month 30]]*Assumptions!$E$9),0)</f>
        <v>2043</v>
      </c>
      <c r="AH7" s="14">
        <f>ROUND(Table2[[#This Row],[Month 31]]+(Table2[[#This Row],[Month 31]]*Assumptions!$E$9),0)</f>
        <v>2206</v>
      </c>
      <c r="AI7" s="14">
        <f>ROUND(Table2[[#This Row],[Month 32]]+(Table2[[#This Row],[Month 32]]*Assumptions!$E$9),0)</f>
        <v>2382</v>
      </c>
      <c r="AJ7" s="14">
        <f>ROUND(Table2[[#This Row],[Month 33]]+(Table2[[#This Row],[Month 33]]*Assumptions!$E$9),0)</f>
        <v>2573</v>
      </c>
      <c r="AK7" s="14">
        <f>ROUND(Table2[[#This Row],[Month 34]]+(Table2[[#This Row],[Month 34]]*Assumptions!$E$9),0)</f>
        <v>2779</v>
      </c>
      <c r="AL7" s="14">
        <f>ROUND(Table2[[#This Row],[Month 35]]+(Table2[[#This Row],[Month 35]]*Assumptions!$E$9),0)</f>
        <v>3001</v>
      </c>
    </row>
    <row r="8" spans="2:38" x14ac:dyDescent="0.3">
      <c r="B8" t="s">
        <v>41</v>
      </c>
      <c r="C8" s="14">
        <f>C7*Assumptions!$C$8</f>
        <v>600</v>
      </c>
      <c r="D8" s="14">
        <f>D7*Assumptions!$C$8</f>
        <v>840</v>
      </c>
      <c r="E8" s="14">
        <f>E7*Assumptions!$C$8</f>
        <v>1180</v>
      </c>
      <c r="F8" s="14">
        <f>F7*Assumptions!$C$8</f>
        <v>1660</v>
      </c>
      <c r="G8" s="14">
        <f>G7*Assumptions!$C$8</f>
        <v>2320</v>
      </c>
      <c r="H8" s="14">
        <f>H7*Assumptions!$C$8</f>
        <v>3240</v>
      </c>
      <c r="I8" s="14">
        <f>I7*Assumptions!$C$8</f>
        <v>4540</v>
      </c>
      <c r="J8" s="14">
        <f>J7*Assumptions!$C$8</f>
        <v>6360</v>
      </c>
      <c r="K8" s="14">
        <f>K7*Assumptions!$D$8</f>
        <v>8675</v>
      </c>
      <c r="L8" s="14">
        <f>L7*Assumptions!$D$8</f>
        <v>9450</v>
      </c>
      <c r="M8" s="14">
        <f>M7*Assumptions!$D$8</f>
        <v>10300</v>
      </c>
      <c r="N8" s="14">
        <f>N7*Assumptions!$D$8</f>
        <v>11225</v>
      </c>
      <c r="O8" s="14">
        <f>O7*Assumptions!$D$8</f>
        <v>12225</v>
      </c>
      <c r="P8" s="14">
        <f>P7*Assumptions!$D$8</f>
        <v>13325</v>
      </c>
      <c r="Q8" s="14">
        <f>Q7*Assumptions!$D$8</f>
        <v>14525</v>
      </c>
      <c r="R8" s="14">
        <f>R7*Assumptions!$D$8</f>
        <v>15825</v>
      </c>
      <c r="S8" s="14">
        <f>S7*Assumptions!$D$8</f>
        <v>17250</v>
      </c>
      <c r="T8" s="14">
        <f>T7*Assumptions!$D$8</f>
        <v>18800</v>
      </c>
      <c r="U8" s="14">
        <f>U7*Assumptions!$E$8</f>
        <v>32480</v>
      </c>
      <c r="V8" s="14">
        <f>V7*Assumptions!$E$8</f>
        <v>35080</v>
      </c>
      <c r="W8" s="14">
        <f>W7*Assumptions!$E$8</f>
        <v>37880</v>
      </c>
      <c r="X8" s="14">
        <f>X7*Assumptions!$E$8</f>
        <v>40920</v>
      </c>
      <c r="Y8" s="14">
        <f>Y7*Assumptions!$E$8</f>
        <v>44200</v>
      </c>
      <c r="Z8" s="14">
        <f>Z7*Assumptions!$E$8</f>
        <v>47720</v>
      </c>
      <c r="AA8" s="14">
        <f>AA7*Assumptions!$E$8</f>
        <v>51520</v>
      </c>
      <c r="AB8" s="14">
        <f>AB7*Assumptions!$E$8</f>
        <v>55640</v>
      </c>
      <c r="AC8" s="14">
        <f>AC7*Assumptions!$E$8</f>
        <v>60080</v>
      </c>
      <c r="AD8" s="14">
        <f>AD7*Assumptions!$E$8</f>
        <v>64880</v>
      </c>
      <c r="AE8" s="14">
        <f>AE7*Assumptions!$E$8</f>
        <v>70080</v>
      </c>
      <c r="AF8" s="14">
        <f>AF7*Assumptions!$E$8</f>
        <v>75680</v>
      </c>
      <c r="AG8" s="14">
        <f>AG7*Assumptions!$E$8</f>
        <v>81720</v>
      </c>
      <c r="AH8" s="14">
        <f>AH7*Assumptions!$E$8</f>
        <v>88240</v>
      </c>
      <c r="AI8" s="14">
        <f>AI7*Assumptions!$E$8</f>
        <v>95280</v>
      </c>
      <c r="AJ8" s="14">
        <f>AJ7*Assumptions!$E$8</f>
        <v>102920</v>
      </c>
      <c r="AK8" s="14">
        <f>AK7*Assumptions!$E$8</f>
        <v>111160</v>
      </c>
      <c r="AL8" s="14">
        <f>AL7*Assumptions!$E$8</f>
        <v>120040</v>
      </c>
    </row>
    <row r="9" spans="2:38" x14ac:dyDescent="0.3">
      <c r="B9" t="s">
        <v>40</v>
      </c>
      <c r="C9" s="15">
        <f>C8*Assumptions!$C$10</f>
        <v>9000</v>
      </c>
      <c r="D9" s="15">
        <f>D8*Assumptions!$C$10</f>
        <v>12600</v>
      </c>
      <c r="E9" s="15">
        <f>E8*Assumptions!$C$10</f>
        <v>17700</v>
      </c>
      <c r="F9" s="15">
        <f>F8*Assumptions!$C$10</f>
        <v>24900</v>
      </c>
      <c r="G9" s="15">
        <f>G8*Assumptions!$C$10</f>
        <v>34800</v>
      </c>
      <c r="H9" s="15">
        <f>H8*Assumptions!$C$10</f>
        <v>48600</v>
      </c>
      <c r="I9" s="15">
        <f>I8*Assumptions!$C$10</f>
        <v>68100</v>
      </c>
      <c r="J9" s="15">
        <f>J8*Assumptions!$C$10</f>
        <v>95400</v>
      </c>
      <c r="K9" s="15">
        <f>K8*Assumptions!$D$10</f>
        <v>164825</v>
      </c>
      <c r="L9" s="15">
        <f>L8*Assumptions!$D$10</f>
        <v>179550</v>
      </c>
      <c r="M9" s="15">
        <f>M8*Assumptions!$D$10</f>
        <v>195700</v>
      </c>
      <c r="N9" s="15">
        <f>N8*Assumptions!$D$10</f>
        <v>213275</v>
      </c>
      <c r="O9" s="15">
        <f>O8*Assumptions!$D$10</f>
        <v>232275</v>
      </c>
      <c r="P9" s="15">
        <f>P8*Assumptions!$D$10</f>
        <v>253175</v>
      </c>
      <c r="Q9" s="15">
        <f>Q8*Assumptions!$D$10</f>
        <v>275975</v>
      </c>
      <c r="R9" s="15">
        <f>R8*Assumptions!$D$10</f>
        <v>300675</v>
      </c>
      <c r="S9" s="15">
        <f>S8*Assumptions!$D$10</f>
        <v>327750</v>
      </c>
      <c r="T9" s="15">
        <f>T8*Assumptions!$D$10</f>
        <v>357200</v>
      </c>
      <c r="U9" s="15">
        <f>U8*Assumptions!$E$10</f>
        <v>747040</v>
      </c>
      <c r="V9" s="15">
        <f>V8*Assumptions!$E$10</f>
        <v>806840</v>
      </c>
      <c r="W9" s="15">
        <f>W8*Assumptions!$E$10</f>
        <v>871240</v>
      </c>
      <c r="X9" s="15">
        <f>X8*Assumptions!$E$10</f>
        <v>941160</v>
      </c>
      <c r="Y9" s="15">
        <f>Y8*Assumptions!$E$10</f>
        <v>1016600</v>
      </c>
      <c r="Z9" s="15">
        <f>Z8*Assumptions!$E$10</f>
        <v>1097560</v>
      </c>
      <c r="AA9" s="15">
        <f>AA8*Assumptions!$E$10</f>
        <v>1184960</v>
      </c>
      <c r="AB9" s="15">
        <f>AB8*Assumptions!$E$10</f>
        <v>1279720</v>
      </c>
      <c r="AC9" s="15">
        <f>AC8*Assumptions!$E$10</f>
        <v>1381840</v>
      </c>
      <c r="AD9" s="15">
        <f>AD8*Assumptions!$E$10</f>
        <v>1492240</v>
      </c>
      <c r="AE9" s="15">
        <f>AE8*Assumptions!$E$10</f>
        <v>1611840</v>
      </c>
      <c r="AF9" s="15">
        <f>AF8*Assumptions!$E$10</f>
        <v>1740640</v>
      </c>
      <c r="AG9" s="15">
        <f>AG8*Assumptions!$E$10</f>
        <v>1879560</v>
      </c>
      <c r="AH9" s="15">
        <f>AH8*Assumptions!$E$10</f>
        <v>2029520</v>
      </c>
      <c r="AI9" s="15">
        <f>AI8*Assumptions!$E$10</f>
        <v>2191440</v>
      </c>
      <c r="AJ9" s="15">
        <f>AJ8*Assumptions!$E$10</f>
        <v>2367160</v>
      </c>
      <c r="AK9" s="15">
        <f>AK8*Assumptions!$E$10</f>
        <v>2556680</v>
      </c>
      <c r="AL9" s="15">
        <f>AL8*Assumptions!$E$10</f>
        <v>2760920</v>
      </c>
    </row>
    <row r="10" spans="2:38" x14ac:dyDescent="0.3">
      <c r="B10" t="s">
        <v>39</v>
      </c>
      <c r="C10" s="13">
        <f>C9*Assumptions!$C$11</f>
        <v>1800</v>
      </c>
      <c r="D10" s="13">
        <f>D9*Assumptions!$C$11</f>
        <v>2520</v>
      </c>
      <c r="E10" s="13">
        <f>E9*Assumptions!$C$11</f>
        <v>3540</v>
      </c>
      <c r="F10" s="13">
        <f>F9*Assumptions!$C$11</f>
        <v>4980</v>
      </c>
      <c r="G10" s="13">
        <f>G9*Assumptions!$C$11</f>
        <v>6960</v>
      </c>
      <c r="H10" s="13">
        <f>H9*Assumptions!$C$11</f>
        <v>9720</v>
      </c>
      <c r="I10" s="13">
        <f>I9*Assumptions!$C$11</f>
        <v>13620</v>
      </c>
      <c r="J10" s="13">
        <f>J9*Assumptions!$C$11</f>
        <v>19080</v>
      </c>
      <c r="K10" s="13">
        <f>K9*Assumptions!$D$11</f>
        <v>32965</v>
      </c>
      <c r="L10" s="13">
        <f>L9*Assumptions!$D$11</f>
        <v>35910</v>
      </c>
      <c r="M10" s="13">
        <f>M9*Assumptions!$D$11</f>
        <v>39140</v>
      </c>
      <c r="N10" s="13">
        <f>N9*Assumptions!$D$11</f>
        <v>42655</v>
      </c>
      <c r="O10" s="13">
        <f>O9*Assumptions!$D$11</f>
        <v>46455</v>
      </c>
      <c r="P10" s="13">
        <f>P9*Assumptions!$D$11</f>
        <v>50635</v>
      </c>
      <c r="Q10" s="13">
        <f>Q9*Assumptions!$D$11</f>
        <v>55195</v>
      </c>
      <c r="R10" s="13">
        <f>R9*Assumptions!$D$11</f>
        <v>60135</v>
      </c>
      <c r="S10" s="13">
        <f>S9*Assumptions!$D$11</f>
        <v>65550</v>
      </c>
      <c r="T10" s="13">
        <f>T9*Assumptions!$D$11</f>
        <v>71440</v>
      </c>
      <c r="U10" s="13">
        <f>U9*Assumptions!$E$11</f>
        <v>149408</v>
      </c>
      <c r="V10" s="13">
        <f>V9*Assumptions!$E$11</f>
        <v>161368</v>
      </c>
      <c r="W10" s="13">
        <f>W9*Assumptions!$E$11</f>
        <v>174248</v>
      </c>
      <c r="X10" s="13">
        <f>X9*Assumptions!$E$11</f>
        <v>188232</v>
      </c>
      <c r="Y10" s="13">
        <f>Y9*Assumptions!$E$11</f>
        <v>203320</v>
      </c>
      <c r="Z10" s="13">
        <f>Z9*Assumptions!$E$11</f>
        <v>219512</v>
      </c>
      <c r="AA10" s="13">
        <f>AA9*Assumptions!$E$11</f>
        <v>236992</v>
      </c>
      <c r="AB10" s="13">
        <f>AB9*Assumptions!$E$11</f>
        <v>255944</v>
      </c>
      <c r="AC10" s="13">
        <f>AC9*Assumptions!$E$11</f>
        <v>276368</v>
      </c>
      <c r="AD10" s="13">
        <f>AD9*Assumptions!$E$11</f>
        <v>298448</v>
      </c>
      <c r="AE10" s="13">
        <f>AE9*Assumptions!$E$11</f>
        <v>322368</v>
      </c>
      <c r="AF10" s="13">
        <f>AF9*Assumptions!$E$11</f>
        <v>348128</v>
      </c>
      <c r="AG10" s="13">
        <f>AG9*Assumptions!$E$11</f>
        <v>375912</v>
      </c>
      <c r="AH10" s="13">
        <f>AH9*Assumptions!$E$11</f>
        <v>405904</v>
      </c>
      <c r="AI10" s="13">
        <f>AI9*Assumptions!$E$11</f>
        <v>438288</v>
      </c>
      <c r="AJ10" s="13">
        <f>AJ9*Assumptions!$E$11</f>
        <v>473432</v>
      </c>
      <c r="AK10" s="13">
        <f>AK9*Assumptions!$E$11</f>
        <v>511336</v>
      </c>
      <c r="AL10" s="13">
        <f>AL9*Assumptions!$E$11</f>
        <v>552184</v>
      </c>
    </row>
    <row r="11" spans="2:38" x14ac:dyDescent="0.3">
      <c r="B11" t="s">
        <v>38</v>
      </c>
      <c r="C11" s="15">
        <f>C8*Assumptions!$C$12</f>
        <v>900</v>
      </c>
      <c r="D11" s="15">
        <f>D8*Assumptions!$C$12</f>
        <v>1260</v>
      </c>
      <c r="E11" s="15">
        <f>E8*Assumptions!$C$12</f>
        <v>1770</v>
      </c>
      <c r="F11" s="15">
        <f>F8*Assumptions!$C$12</f>
        <v>2490</v>
      </c>
      <c r="G11" s="15">
        <f>G8*Assumptions!$C$12</f>
        <v>3480</v>
      </c>
      <c r="H11" s="15">
        <f>H8*Assumptions!$C$12</f>
        <v>4860</v>
      </c>
      <c r="I11" s="15">
        <f>I8*Assumptions!$C$12</f>
        <v>6810</v>
      </c>
      <c r="J11" s="15">
        <f>J8*Assumptions!$C$12</f>
        <v>9540</v>
      </c>
      <c r="K11" s="15">
        <f>K8*Assumptions!$D$12</f>
        <v>15181.25</v>
      </c>
      <c r="L11" s="15">
        <f>L8*Assumptions!$D$12</f>
        <v>16537.5</v>
      </c>
      <c r="M11" s="15">
        <f>M8*Assumptions!$D$12</f>
        <v>18025</v>
      </c>
      <c r="N11" s="15">
        <f>N8*Assumptions!$D$12</f>
        <v>19643.75</v>
      </c>
      <c r="O11" s="15">
        <f>O8*Assumptions!$D$12</f>
        <v>21393.75</v>
      </c>
      <c r="P11" s="15">
        <f>P8*Assumptions!$D$12</f>
        <v>23318.75</v>
      </c>
      <c r="Q11" s="15">
        <f>Q8*Assumptions!$D$12</f>
        <v>25418.75</v>
      </c>
      <c r="R11" s="15">
        <f>R8*Assumptions!$D$12</f>
        <v>27693.75</v>
      </c>
      <c r="S11" s="15">
        <f>S8*Assumptions!$D$12</f>
        <v>30187.5</v>
      </c>
      <c r="T11" s="15">
        <f>T8*Assumptions!$D$12</f>
        <v>32900</v>
      </c>
      <c r="U11" s="15">
        <f>U8*Assumptions!$E$12</f>
        <v>73080</v>
      </c>
      <c r="V11" s="15">
        <f>V8*Assumptions!$E$12</f>
        <v>78930</v>
      </c>
      <c r="W11" s="15">
        <f>W8*Assumptions!$E$12</f>
        <v>85230</v>
      </c>
      <c r="X11" s="15">
        <f>X8*Assumptions!$E$12</f>
        <v>92070</v>
      </c>
      <c r="Y11" s="15">
        <f>Y8*Assumptions!$E$12</f>
        <v>99450</v>
      </c>
      <c r="Z11" s="15">
        <f>Z8*Assumptions!$E$12</f>
        <v>107370</v>
      </c>
      <c r="AA11" s="15">
        <f>AA8*Assumptions!$E$12</f>
        <v>115920</v>
      </c>
      <c r="AB11" s="15">
        <f>AB8*Assumptions!$E$12</f>
        <v>125190</v>
      </c>
      <c r="AC11" s="15">
        <f>AC8*Assumptions!$E$12</f>
        <v>135180</v>
      </c>
      <c r="AD11" s="15">
        <f>AD8*Assumptions!$E$12</f>
        <v>145980</v>
      </c>
      <c r="AE11" s="15">
        <f>AE8*Assumptions!$E$12</f>
        <v>157680</v>
      </c>
      <c r="AF11" s="15">
        <f>AF8*Assumptions!$E$12</f>
        <v>170280</v>
      </c>
      <c r="AG11" s="15">
        <f>AG8*Assumptions!$E$12</f>
        <v>183870</v>
      </c>
      <c r="AH11" s="15">
        <f>AH8*Assumptions!$E$12</f>
        <v>198540</v>
      </c>
      <c r="AI11" s="15">
        <f>AI8*Assumptions!$E$12</f>
        <v>214380</v>
      </c>
      <c r="AJ11" s="15">
        <f>AJ8*Assumptions!$E$12</f>
        <v>231570</v>
      </c>
      <c r="AK11" s="15">
        <f>AK8*Assumptions!$E$12</f>
        <v>250110</v>
      </c>
      <c r="AL11" s="15">
        <f>AL8*Assumptions!$E$12</f>
        <v>270090</v>
      </c>
    </row>
    <row r="12" spans="2:38" x14ac:dyDescent="0.3">
      <c r="B12" t="s">
        <v>37</v>
      </c>
      <c r="C12" s="15">
        <f>C8*Assumptions!$C$13</f>
        <v>6</v>
      </c>
      <c r="D12" s="15">
        <f>D8*Assumptions!$C$13</f>
        <v>8.4</v>
      </c>
      <c r="E12" s="15">
        <f>E8*Assumptions!$C$13</f>
        <v>11.8</v>
      </c>
      <c r="F12" s="15">
        <f>F8*Assumptions!$C$13</f>
        <v>16.600000000000001</v>
      </c>
      <c r="G12" s="15">
        <f>G8*Assumptions!$C$13</f>
        <v>23.2</v>
      </c>
      <c r="H12" s="15">
        <f>H8*Assumptions!$C$13</f>
        <v>32.4</v>
      </c>
      <c r="I12" s="15">
        <f>I8*Assumptions!$C$13</f>
        <v>45.4</v>
      </c>
      <c r="J12" s="15">
        <f>J8*Assumptions!$C$13</f>
        <v>63.6</v>
      </c>
      <c r="K12" s="15">
        <f>K8*Assumptions!$D$13</f>
        <v>433.75</v>
      </c>
      <c r="L12" s="15">
        <f>L8*Assumptions!$D$13</f>
        <v>472.5</v>
      </c>
      <c r="M12" s="15">
        <f>M8*Assumptions!$D$13</f>
        <v>515</v>
      </c>
      <c r="N12" s="15">
        <f>N8*Assumptions!$D$13</f>
        <v>561.25</v>
      </c>
      <c r="O12" s="15">
        <f>O8*Assumptions!$D$13</f>
        <v>611.25</v>
      </c>
      <c r="P12" s="15">
        <f>P8*Assumptions!$D$13</f>
        <v>666.25</v>
      </c>
      <c r="Q12" s="15">
        <f>Q8*Assumptions!$D$13</f>
        <v>726.25</v>
      </c>
      <c r="R12" s="15">
        <f>R8*Assumptions!$D$13</f>
        <v>791.25</v>
      </c>
      <c r="S12" s="15">
        <f>S8*Assumptions!$D$13</f>
        <v>862.5</v>
      </c>
      <c r="T12" s="15">
        <f>T8*Assumptions!$D$13</f>
        <v>940</v>
      </c>
      <c r="U12" s="15">
        <f>U8*Assumptions!$E$13</f>
        <v>3248</v>
      </c>
      <c r="V12" s="15">
        <f>V8*Assumptions!$E$13</f>
        <v>3508</v>
      </c>
      <c r="W12" s="15">
        <f>W8*Assumptions!$E$13</f>
        <v>3788</v>
      </c>
      <c r="X12" s="15">
        <f>X8*Assumptions!$E$13</f>
        <v>4092</v>
      </c>
      <c r="Y12" s="15">
        <f>Y8*Assumptions!$E$13</f>
        <v>4420</v>
      </c>
      <c r="Z12" s="15">
        <f>Z8*Assumptions!$E$13</f>
        <v>4772</v>
      </c>
      <c r="AA12" s="15">
        <f>AA8*Assumptions!$E$13</f>
        <v>5152</v>
      </c>
      <c r="AB12" s="15">
        <f>AB8*Assumptions!$E$13</f>
        <v>5564</v>
      </c>
      <c r="AC12" s="15">
        <f>AC8*Assumptions!$E$13</f>
        <v>6008</v>
      </c>
      <c r="AD12" s="15">
        <f>AD8*Assumptions!$E$13</f>
        <v>6488</v>
      </c>
      <c r="AE12" s="15">
        <f>AE8*Assumptions!$E$13</f>
        <v>7008</v>
      </c>
      <c r="AF12" s="15">
        <f>AF8*Assumptions!$E$13</f>
        <v>7568</v>
      </c>
      <c r="AG12" s="15">
        <f>AG8*Assumptions!$E$13</f>
        <v>8172</v>
      </c>
      <c r="AH12" s="15">
        <f>AH8*Assumptions!$E$13</f>
        <v>8824</v>
      </c>
      <c r="AI12" s="15">
        <f>AI8*Assumptions!$E$13</f>
        <v>9528</v>
      </c>
      <c r="AJ12" s="15">
        <f>AJ8*Assumptions!$E$13</f>
        <v>10292</v>
      </c>
      <c r="AK12" s="15">
        <f>AK8*Assumptions!$E$13</f>
        <v>11116</v>
      </c>
      <c r="AL12" s="15">
        <f>AL8*Assumptions!$E$13</f>
        <v>12004</v>
      </c>
    </row>
    <row r="13" spans="2:38" x14ac:dyDescent="0.3">
      <c r="B13" t="s">
        <v>36</v>
      </c>
      <c r="C13" s="13">
        <f>SUM(C10:C12)</f>
        <v>2706</v>
      </c>
      <c r="D13" s="13">
        <f t="shared" ref="D13:AL13" si="0">SUM(D10:D12)</f>
        <v>3788.4</v>
      </c>
      <c r="E13" s="13">
        <f t="shared" si="0"/>
        <v>5321.8</v>
      </c>
      <c r="F13" s="13">
        <f t="shared" si="0"/>
        <v>7486.6</v>
      </c>
      <c r="G13" s="13">
        <f t="shared" si="0"/>
        <v>10463.200000000001</v>
      </c>
      <c r="H13" s="13">
        <f t="shared" si="0"/>
        <v>14612.4</v>
      </c>
      <c r="I13" s="13">
        <f t="shared" si="0"/>
        <v>20475.400000000001</v>
      </c>
      <c r="J13" s="13">
        <f t="shared" si="0"/>
        <v>28683.599999999999</v>
      </c>
      <c r="K13" s="13">
        <f t="shared" si="0"/>
        <v>48580</v>
      </c>
      <c r="L13" s="13">
        <f t="shared" si="0"/>
        <v>52920</v>
      </c>
      <c r="M13" s="13">
        <f t="shared" si="0"/>
        <v>57680</v>
      </c>
      <c r="N13" s="13">
        <f t="shared" si="0"/>
        <v>62860</v>
      </c>
      <c r="O13" s="13">
        <f t="shared" si="0"/>
        <v>68460</v>
      </c>
      <c r="P13" s="13">
        <f t="shared" si="0"/>
        <v>74620</v>
      </c>
      <c r="Q13" s="13">
        <f t="shared" si="0"/>
        <v>81340</v>
      </c>
      <c r="R13" s="13">
        <f t="shared" si="0"/>
        <v>88620</v>
      </c>
      <c r="S13" s="13">
        <f t="shared" si="0"/>
        <v>96600</v>
      </c>
      <c r="T13" s="13">
        <f t="shared" si="0"/>
        <v>105280</v>
      </c>
      <c r="U13" s="13">
        <f t="shared" si="0"/>
        <v>225736</v>
      </c>
      <c r="V13" s="13">
        <f t="shared" si="0"/>
        <v>243806</v>
      </c>
      <c r="W13" s="13">
        <f t="shared" si="0"/>
        <v>263266</v>
      </c>
      <c r="X13" s="13">
        <f t="shared" si="0"/>
        <v>284394</v>
      </c>
      <c r="Y13" s="13">
        <f t="shared" si="0"/>
        <v>307190</v>
      </c>
      <c r="Z13" s="13">
        <f t="shared" si="0"/>
        <v>331654</v>
      </c>
      <c r="AA13" s="13">
        <f t="shared" si="0"/>
        <v>358064</v>
      </c>
      <c r="AB13" s="13">
        <f t="shared" si="0"/>
        <v>386698</v>
      </c>
      <c r="AC13" s="13">
        <f t="shared" si="0"/>
        <v>417556</v>
      </c>
      <c r="AD13" s="13">
        <f t="shared" si="0"/>
        <v>450916</v>
      </c>
      <c r="AE13" s="13">
        <f t="shared" si="0"/>
        <v>487056</v>
      </c>
      <c r="AF13" s="13">
        <f t="shared" si="0"/>
        <v>525976</v>
      </c>
      <c r="AG13" s="13">
        <f t="shared" si="0"/>
        <v>567954</v>
      </c>
      <c r="AH13" s="13">
        <f t="shared" si="0"/>
        <v>613268</v>
      </c>
      <c r="AI13" s="13">
        <f t="shared" si="0"/>
        <v>662196</v>
      </c>
      <c r="AJ13" s="13">
        <f t="shared" si="0"/>
        <v>715294</v>
      </c>
      <c r="AK13" s="13">
        <f t="shared" si="0"/>
        <v>772562</v>
      </c>
      <c r="AL13" s="13">
        <f t="shared" si="0"/>
        <v>834278</v>
      </c>
    </row>
    <row r="14" spans="2:38" x14ac:dyDescent="0.3">
      <c r="B14" t="s">
        <v>35</v>
      </c>
      <c r="C14" s="15">
        <f>C8*Assumptions!$C$15</f>
        <v>3000</v>
      </c>
      <c r="D14" s="15">
        <f>D8*Assumptions!$C$15</f>
        <v>4200</v>
      </c>
      <c r="E14" s="15">
        <f>E8*Assumptions!$C$15</f>
        <v>5900</v>
      </c>
      <c r="F14" s="15">
        <f>F8*Assumptions!$C$15</f>
        <v>8300</v>
      </c>
      <c r="G14" s="15">
        <f>G8*Assumptions!$C$15</f>
        <v>11600</v>
      </c>
      <c r="H14" s="15">
        <f>H8*Assumptions!$C$15</f>
        <v>16200</v>
      </c>
      <c r="I14" s="15">
        <f>I8*Assumptions!$C$15</f>
        <v>22700</v>
      </c>
      <c r="J14" s="15">
        <f>J8*Assumptions!$C$15</f>
        <v>31800</v>
      </c>
      <c r="K14" s="15">
        <f>K8*Assumptions!$D$15</f>
        <v>41206.25</v>
      </c>
      <c r="L14" s="15">
        <f>L8*Assumptions!$D$15</f>
        <v>44887.5</v>
      </c>
      <c r="M14" s="15">
        <f>M8*Assumptions!$D$15</f>
        <v>48925</v>
      </c>
      <c r="N14" s="15">
        <f>N8*Assumptions!$D$15</f>
        <v>53318.75</v>
      </c>
      <c r="O14" s="15">
        <f>O8*Assumptions!$D$15</f>
        <v>58068.75</v>
      </c>
      <c r="P14" s="15">
        <f>P8*Assumptions!$D$15</f>
        <v>63293.75</v>
      </c>
      <c r="Q14" s="15">
        <f>Q8*Assumptions!$D$15</f>
        <v>68993.75</v>
      </c>
      <c r="R14" s="15">
        <f>R8*Assumptions!$D$15</f>
        <v>75168.75</v>
      </c>
      <c r="S14" s="15">
        <f>S8*Assumptions!$D$15</f>
        <v>81937.5</v>
      </c>
      <c r="T14" s="15">
        <f>T8*Assumptions!$D$15</f>
        <v>89300</v>
      </c>
      <c r="U14" s="15">
        <f>U8*Assumptions!$E$15</f>
        <v>138040</v>
      </c>
      <c r="V14" s="15">
        <f>V8*Assumptions!$E$15</f>
        <v>149090</v>
      </c>
      <c r="W14" s="15">
        <f>W8*Assumptions!$E$15</f>
        <v>160990</v>
      </c>
      <c r="X14" s="15">
        <f>X8*Assumptions!$E$15</f>
        <v>173910</v>
      </c>
      <c r="Y14" s="15">
        <f>Y8*Assumptions!$E$15</f>
        <v>187850</v>
      </c>
      <c r="Z14" s="15">
        <f>Z8*Assumptions!$E$15</f>
        <v>202810</v>
      </c>
      <c r="AA14" s="15">
        <f>AA8*Assumptions!$E$15</f>
        <v>218960</v>
      </c>
      <c r="AB14" s="15">
        <f>AB8*Assumptions!$E$15</f>
        <v>236470</v>
      </c>
      <c r="AC14" s="15">
        <f>AC8*Assumptions!$E$15</f>
        <v>255340</v>
      </c>
      <c r="AD14" s="15">
        <f>AD8*Assumptions!$E$15</f>
        <v>275740</v>
      </c>
      <c r="AE14" s="15">
        <f>AE8*Assumptions!$E$15</f>
        <v>297840</v>
      </c>
      <c r="AF14" s="15">
        <f>AF8*Assumptions!$E$15</f>
        <v>321640</v>
      </c>
      <c r="AG14" s="15">
        <f>AG8*Assumptions!$E$15</f>
        <v>347310</v>
      </c>
      <c r="AH14" s="15">
        <f>AH8*Assumptions!$E$15</f>
        <v>375020</v>
      </c>
      <c r="AI14" s="15">
        <f>AI8*Assumptions!$E$15</f>
        <v>404940</v>
      </c>
      <c r="AJ14" s="15">
        <f>AJ8*Assumptions!$E$15</f>
        <v>437410</v>
      </c>
      <c r="AK14" s="15">
        <f>AK8*Assumptions!$E$15</f>
        <v>472430</v>
      </c>
      <c r="AL14" s="15">
        <f>AL8*Assumptions!$E$15</f>
        <v>510170</v>
      </c>
    </row>
    <row r="15" spans="2:38" x14ac:dyDescent="0.3">
      <c r="B15" t="s">
        <v>34</v>
      </c>
      <c r="C15" s="13">
        <f>Assumptions!$C$16</f>
        <v>2000</v>
      </c>
      <c r="D15" s="13">
        <f>Assumptions!$C$16</f>
        <v>2000</v>
      </c>
      <c r="E15" s="13">
        <f>Assumptions!$C$16</f>
        <v>2000</v>
      </c>
      <c r="F15" s="13">
        <f>Assumptions!$C$16</f>
        <v>2000</v>
      </c>
      <c r="G15" s="13">
        <f>Assumptions!$C$16</f>
        <v>2000</v>
      </c>
      <c r="H15" s="13">
        <f>Assumptions!$C$16</f>
        <v>2000</v>
      </c>
      <c r="I15" s="13">
        <f>Assumptions!$C$16</f>
        <v>2000</v>
      </c>
      <c r="J15" s="13">
        <f>Assumptions!$C$16</f>
        <v>2000</v>
      </c>
      <c r="K15" s="13">
        <f>Assumptions!$D$16</f>
        <v>3500</v>
      </c>
      <c r="L15" s="13">
        <f>Assumptions!$D$16</f>
        <v>3500</v>
      </c>
      <c r="M15" s="13">
        <f>Assumptions!$D$16</f>
        <v>3500</v>
      </c>
      <c r="N15" s="13">
        <f>Assumptions!$D$16</f>
        <v>3500</v>
      </c>
      <c r="O15" s="13">
        <f>Assumptions!$D$16</f>
        <v>3500</v>
      </c>
      <c r="P15" s="13">
        <f>Assumptions!$D$16</f>
        <v>3500</v>
      </c>
      <c r="Q15" s="13">
        <f>Assumptions!$D$16</f>
        <v>3500</v>
      </c>
      <c r="R15" s="13">
        <f>Assumptions!$D$16</f>
        <v>3500</v>
      </c>
      <c r="S15" s="13">
        <f>Assumptions!$D$16</f>
        <v>3500</v>
      </c>
      <c r="T15" s="13">
        <f>Assumptions!$D$16</f>
        <v>3500</v>
      </c>
      <c r="U15" s="13">
        <f>Assumptions!$E$16</f>
        <v>4000</v>
      </c>
      <c r="V15" s="13">
        <f>Assumptions!$E$16</f>
        <v>4000</v>
      </c>
      <c r="W15" s="13">
        <f>Assumptions!$E$16</f>
        <v>4000</v>
      </c>
      <c r="X15" s="13">
        <f>Assumptions!$E$16</f>
        <v>4000</v>
      </c>
      <c r="Y15" s="13">
        <f>Assumptions!$E$16</f>
        <v>4000</v>
      </c>
      <c r="Z15" s="13">
        <f>Assumptions!$E$16</f>
        <v>4000</v>
      </c>
      <c r="AA15" s="13">
        <f>Assumptions!$E$16</f>
        <v>4000</v>
      </c>
      <c r="AB15" s="13">
        <f>Assumptions!$E$16</f>
        <v>4000</v>
      </c>
      <c r="AC15" s="13">
        <f>Assumptions!$E$16</f>
        <v>4000</v>
      </c>
      <c r="AD15" s="13">
        <f>Assumptions!$E$16</f>
        <v>4000</v>
      </c>
      <c r="AE15" s="13">
        <f>Assumptions!$E$16</f>
        <v>4000</v>
      </c>
      <c r="AF15" s="13">
        <f>Assumptions!$E$16</f>
        <v>4000</v>
      </c>
      <c r="AG15" s="13">
        <f>Assumptions!$E$16</f>
        <v>4000</v>
      </c>
      <c r="AH15" s="13">
        <f>Assumptions!$E$16</f>
        <v>4000</v>
      </c>
      <c r="AI15" s="13">
        <f>Assumptions!$E$16</f>
        <v>4000</v>
      </c>
      <c r="AJ15" s="13">
        <f>Assumptions!$E$16</f>
        <v>4000</v>
      </c>
      <c r="AK15" s="13">
        <f>Assumptions!$E$16</f>
        <v>4000</v>
      </c>
      <c r="AL15" s="13">
        <f>Assumptions!$E$16</f>
        <v>4000</v>
      </c>
    </row>
    <row r="16" spans="2:38" x14ac:dyDescent="0.3">
      <c r="B16" t="s">
        <v>33</v>
      </c>
      <c r="C16" s="13">
        <f>Assumptions!$C$17</f>
        <v>5000</v>
      </c>
      <c r="D16" s="13">
        <f>Assumptions!$C$17</f>
        <v>5000</v>
      </c>
      <c r="E16" s="13">
        <f>Assumptions!$C$17</f>
        <v>5000</v>
      </c>
      <c r="F16" s="13">
        <f>Assumptions!$C$17</f>
        <v>5000</v>
      </c>
      <c r="G16" s="13">
        <f>Assumptions!$C$17</f>
        <v>5000</v>
      </c>
      <c r="H16" s="13">
        <f>Assumptions!$C$17</f>
        <v>5000</v>
      </c>
      <c r="I16" s="13">
        <f>Assumptions!$C$17</f>
        <v>5000</v>
      </c>
      <c r="J16" s="13">
        <f>Assumptions!$C$17</f>
        <v>5000</v>
      </c>
      <c r="K16" s="13">
        <f>Assumptions!$D$17</f>
        <v>4000</v>
      </c>
      <c r="L16" s="13">
        <f>Assumptions!$D$17</f>
        <v>4000</v>
      </c>
      <c r="M16" s="13">
        <f>Assumptions!$D$17</f>
        <v>4000</v>
      </c>
      <c r="N16" s="13">
        <f>Assumptions!$D$17</f>
        <v>4000</v>
      </c>
      <c r="O16" s="13">
        <f>Assumptions!$D$17</f>
        <v>4000</v>
      </c>
      <c r="P16" s="13">
        <f>Assumptions!$D$17</f>
        <v>4000</v>
      </c>
      <c r="Q16" s="13">
        <f>Assumptions!$D$17</f>
        <v>4000</v>
      </c>
      <c r="R16" s="13">
        <f>Assumptions!$D$17</f>
        <v>4000</v>
      </c>
      <c r="S16" s="13">
        <f>Assumptions!$D$17</f>
        <v>4000</v>
      </c>
      <c r="T16" s="13">
        <f>Assumptions!$D$17</f>
        <v>4000</v>
      </c>
      <c r="U16" s="13">
        <f>Assumptions!$E$17</f>
        <v>3500</v>
      </c>
      <c r="V16" s="13">
        <f>Assumptions!$E$17</f>
        <v>3500</v>
      </c>
      <c r="W16" s="13">
        <f>Assumptions!$E$17</f>
        <v>3500</v>
      </c>
      <c r="X16" s="13">
        <f>Assumptions!$E$17</f>
        <v>3500</v>
      </c>
      <c r="Y16" s="13">
        <f>Assumptions!$E$17</f>
        <v>3500</v>
      </c>
      <c r="Z16" s="13">
        <f>Assumptions!$E$17</f>
        <v>3500</v>
      </c>
      <c r="AA16" s="13">
        <f>Assumptions!$E$17</f>
        <v>3500</v>
      </c>
      <c r="AB16" s="13">
        <f>Assumptions!$E$17</f>
        <v>3500</v>
      </c>
      <c r="AC16" s="13">
        <f>Assumptions!$E$17</f>
        <v>3500</v>
      </c>
      <c r="AD16" s="13">
        <f>Assumptions!$E$17</f>
        <v>3500</v>
      </c>
      <c r="AE16" s="13">
        <f>Assumptions!$E$17</f>
        <v>3500</v>
      </c>
      <c r="AF16" s="13">
        <f>Assumptions!$E$17</f>
        <v>3500</v>
      </c>
      <c r="AG16" s="13">
        <f>Assumptions!$E$17</f>
        <v>3500</v>
      </c>
      <c r="AH16" s="13">
        <f>Assumptions!$E$17</f>
        <v>3500</v>
      </c>
      <c r="AI16" s="13">
        <f>Assumptions!$E$17</f>
        <v>3500</v>
      </c>
      <c r="AJ16" s="13">
        <f>Assumptions!$E$17</f>
        <v>3500</v>
      </c>
      <c r="AK16" s="13">
        <f>Assumptions!$E$17</f>
        <v>3500</v>
      </c>
      <c r="AL16" s="13">
        <f>Assumptions!$E$17</f>
        <v>3500</v>
      </c>
    </row>
    <row r="17" spans="2:38" x14ac:dyDescent="0.3">
      <c r="B17" t="s">
        <v>32</v>
      </c>
      <c r="C17" s="13">
        <f>(Assumptions!$C$18*Assumptions!$C$20)+(Assumptions!$C$19*Assumptions!$C$24)+(Assumptions!$C$19*Assumptions!$C$25)</f>
        <v>22500</v>
      </c>
      <c r="D17" s="13">
        <f>(Assumptions!$C$18*Assumptions!$C$20)+(Assumptions!$C$19*Assumptions!$C$24)+(Assumptions!$C$19*Assumptions!$C$25)</f>
        <v>22500</v>
      </c>
      <c r="E17" s="13">
        <f>(Assumptions!$C$18*Assumptions!$C$20)+(Assumptions!$C$19*Assumptions!$C$24)+(Assumptions!$C$19*Assumptions!$C$25)</f>
        <v>22500</v>
      </c>
      <c r="F17" s="13">
        <f>(Assumptions!$C$18*Assumptions!$C$20)+(Assumptions!$C$19*Assumptions!$C$24)+(Assumptions!$C$19*Assumptions!$C$25)</f>
        <v>22500</v>
      </c>
      <c r="G17" s="13">
        <f>(Assumptions!$C$18*Assumptions!$C$20)+(Assumptions!$C$19*Assumptions!$C$24)+(Assumptions!$C$19*Assumptions!$C$25)</f>
        <v>22500</v>
      </c>
      <c r="H17" s="13">
        <f>(Assumptions!$C$18*Assumptions!$C$20)+(Assumptions!$C$19*Assumptions!$C$24)+(Assumptions!$C$19*Assumptions!$C$25)</f>
        <v>22500</v>
      </c>
      <c r="I17" s="13">
        <f>(Assumptions!$C$18*Assumptions!$C$20)+(Assumptions!$C$19*Assumptions!$C$24)+(Assumptions!$C$19*Assumptions!$C$25)</f>
        <v>22500</v>
      </c>
      <c r="J17" s="13">
        <f>(Assumptions!$C$18*Assumptions!$C$20)+(Assumptions!$C$19*Assumptions!$C$24)+(Assumptions!$C$19*Assumptions!$C$25)</f>
        <v>22500</v>
      </c>
      <c r="K17" s="13">
        <f>(Assumptions!$D$18*Assumptions!$D$20)+(Assumptions!$D$19*Assumptions!$D$24)+(Assumptions!$D$19*Assumptions!$D$25)</f>
        <v>38500</v>
      </c>
      <c r="L17" s="13">
        <f>(Assumptions!$D$18*Assumptions!$D$20)+(Assumptions!$D$19*Assumptions!$D$24)+(Assumptions!$D$19*Assumptions!$D$25)</f>
        <v>38500</v>
      </c>
      <c r="M17" s="13">
        <f>(Assumptions!$D$18*Assumptions!$D$20)+(Assumptions!$D$19*Assumptions!$D$24)+(Assumptions!$D$19*Assumptions!$D$25)</f>
        <v>38500</v>
      </c>
      <c r="N17" s="13">
        <f>(Assumptions!$D$18*Assumptions!$D$20)+(Assumptions!$D$19*Assumptions!$D$24)+(Assumptions!$D$19*Assumptions!$D$25)</f>
        <v>38500</v>
      </c>
      <c r="O17" s="13">
        <f>(Assumptions!$D$18*Assumptions!$D$20)+(Assumptions!$D$19*Assumptions!$D$24)+(Assumptions!$D$19*Assumptions!$D$25)</f>
        <v>38500</v>
      </c>
      <c r="P17" s="13">
        <f>(Assumptions!$D$18*Assumptions!$D$20)+(Assumptions!$D$19*Assumptions!$D$24)+(Assumptions!$D$19*Assumptions!$D$25)</f>
        <v>38500</v>
      </c>
      <c r="Q17" s="13">
        <f>(Assumptions!$D$18*Assumptions!$D$20)+(Assumptions!$D$19*Assumptions!$D$24)+(Assumptions!$D$19*Assumptions!$D$25)</f>
        <v>38500</v>
      </c>
      <c r="R17" s="13">
        <f>(Assumptions!$D$18*Assumptions!$D$20)+(Assumptions!$D$19*Assumptions!$D$24)+(Assumptions!$D$19*Assumptions!$D$25)</f>
        <v>38500</v>
      </c>
      <c r="S17" s="13">
        <f>(Assumptions!$D$18*Assumptions!$D$20)+(Assumptions!$D$19*Assumptions!$D$24)+(Assumptions!$D$19*Assumptions!$D$25)</f>
        <v>38500</v>
      </c>
      <c r="T17" s="13">
        <f>(Assumptions!$D$18*Assumptions!$D$20)+(Assumptions!$D$19*Assumptions!$D$24)+(Assumptions!$D$19*Assumptions!$D$25)</f>
        <v>38500</v>
      </c>
      <c r="U17" s="13">
        <f>(Assumptions!$E$18*Assumptions!$E$20)+(Assumptions!$E$19*Assumptions!$E$24)+(Assumptions!$E$19*Assumptions!$E$25)</f>
        <v>92250</v>
      </c>
      <c r="V17" s="13">
        <f>(Assumptions!$E$18*Assumptions!$E$20)+(Assumptions!$E$19*Assumptions!$E$24)+(Assumptions!$E$19*Assumptions!$E$25)</f>
        <v>92250</v>
      </c>
      <c r="W17" s="13">
        <f>(Assumptions!$E$18*Assumptions!$E$20)+(Assumptions!$E$19*Assumptions!$E$24)+(Assumptions!$E$19*Assumptions!$E$25)</f>
        <v>92250</v>
      </c>
      <c r="X17" s="13">
        <f>(Assumptions!$E$18*Assumptions!$E$20)+(Assumptions!$E$19*Assumptions!$E$24)+(Assumptions!$E$19*Assumptions!$E$25)</f>
        <v>92250</v>
      </c>
      <c r="Y17" s="13">
        <f>(Assumptions!$E$18*Assumptions!$E$20)+(Assumptions!$E$19*Assumptions!$E$24)+(Assumptions!$E$19*Assumptions!$E$25)</f>
        <v>92250</v>
      </c>
      <c r="Z17" s="13">
        <f>(Assumptions!$E$18*Assumptions!$E$20)+(Assumptions!$E$19*Assumptions!$E$24)+(Assumptions!$E$19*Assumptions!$E$25)</f>
        <v>92250</v>
      </c>
      <c r="AA17" s="13">
        <f>(Assumptions!$E$18*Assumptions!$E$20)+(Assumptions!$E$19*Assumptions!$E$24)+(Assumptions!$E$19*Assumptions!$E$25)</f>
        <v>92250</v>
      </c>
      <c r="AB17" s="13">
        <f>(Assumptions!$E$18*Assumptions!$E$20)+(Assumptions!$E$19*Assumptions!$E$24)+(Assumptions!$E$19*Assumptions!$E$25)</f>
        <v>92250</v>
      </c>
      <c r="AC17" s="13">
        <f>(Assumptions!$E$18*Assumptions!$E$20)+(Assumptions!$E$19*Assumptions!$E$24)+(Assumptions!$E$19*Assumptions!$E$25)</f>
        <v>92250</v>
      </c>
      <c r="AD17" s="13">
        <f>(Assumptions!$E$18*Assumptions!$E$20)+(Assumptions!$E$19*Assumptions!$E$24)+(Assumptions!$E$19*Assumptions!$E$25)</f>
        <v>92250</v>
      </c>
      <c r="AE17" s="13">
        <f>(Assumptions!$E$18*Assumptions!$E$20)+(Assumptions!$E$19*Assumptions!$E$24)+(Assumptions!$E$19*Assumptions!$E$25)</f>
        <v>92250</v>
      </c>
      <c r="AF17" s="13">
        <f>(Assumptions!$E$18*Assumptions!$E$20)+(Assumptions!$E$19*Assumptions!$E$24)+(Assumptions!$E$19*Assumptions!$E$25)</f>
        <v>92250</v>
      </c>
      <c r="AG17" s="13">
        <f>(Assumptions!$E$18*Assumptions!$E$20)+(Assumptions!$E$19*Assumptions!$E$24)+(Assumptions!$E$19*Assumptions!$E$25)</f>
        <v>92250</v>
      </c>
      <c r="AH17" s="13">
        <f>(Assumptions!$E$18*Assumptions!$E$20)+(Assumptions!$E$19*Assumptions!$E$24)+(Assumptions!$E$19*Assumptions!$E$25)</f>
        <v>92250</v>
      </c>
      <c r="AI17" s="13">
        <f>(Assumptions!$E$18*Assumptions!$E$20)+(Assumptions!$E$19*Assumptions!$E$24)+(Assumptions!$E$19*Assumptions!$E$25)</f>
        <v>92250</v>
      </c>
      <c r="AJ17" s="13">
        <f>(Assumptions!$E$18*Assumptions!$E$20)+(Assumptions!$E$19*Assumptions!$E$24)+(Assumptions!$E$19*Assumptions!$E$25)</f>
        <v>92250</v>
      </c>
      <c r="AK17" s="13">
        <f>(Assumptions!$E$18*Assumptions!$E$20)+(Assumptions!$E$19*Assumptions!$E$24)+(Assumptions!$E$19*Assumptions!$E$25)</f>
        <v>92250</v>
      </c>
      <c r="AL17" s="13">
        <f>(Assumptions!$E$18*Assumptions!$E$20)+(Assumptions!$E$19*Assumptions!$E$24)+(Assumptions!$E$19*Assumptions!$E$25)</f>
        <v>92250</v>
      </c>
    </row>
    <row r="18" spans="2:38" x14ac:dyDescent="0.3">
      <c r="B18" t="s">
        <v>31</v>
      </c>
      <c r="C18" s="13">
        <f t="shared" ref="C18:AL18" si="1">SUM(C14:C17)</f>
        <v>32500</v>
      </c>
      <c r="D18" s="13">
        <f t="shared" si="1"/>
        <v>33700</v>
      </c>
      <c r="E18" s="13">
        <f t="shared" si="1"/>
        <v>35400</v>
      </c>
      <c r="F18" s="13">
        <f t="shared" si="1"/>
        <v>37800</v>
      </c>
      <c r="G18" s="13">
        <f t="shared" si="1"/>
        <v>41100</v>
      </c>
      <c r="H18" s="13">
        <f t="shared" si="1"/>
        <v>45700</v>
      </c>
      <c r="I18" s="13">
        <f t="shared" si="1"/>
        <v>52200</v>
      </c>
      <c r="J18" s="13">
        <f t="shared" si="1"/>
        <v>61300</v>
      </c>
      <c r="K18" s="13">
        <f t="shared" si="1"/>
        <v>87206.25</v>
      </c>
      <c r="L18" s="13">
        <f t="shared" si="1"/>
        <v>90887.5</v>
      </c>
      <c r="M18" s="13">
        <f t="shared" si="1"/>
        <v>94925</v>
      </c>
      <c r="N18" s="13">
        <f t="shared" si="1"/>
        <v>99318.75</v>
      </c>
      <c r="O18" s="13">
        <f t="shared" si="1"/>
        <v>104068.75</v>
      </c>
      <c r="P18" s="13">
        <f t="shared" si="1"/>
        <v>109293.75</v>
      </c>
      <c r="Q18" s="13">
        <f t="shared" si="1"/>
        <v>114993.75</v>
      </c>
      <c r="R18" s="13">
        <f t="shared" si="1"/>
        <v>121168.75</v>
      </c>
      <c r="S18" s="13">
        <f t="shared" si="1"/>
        <v>127937.5</v>
      </c>
      <c r="T18" s="13">
        <f t="shared" si="1"/>
        <v>135300</v>
      </c>
      <c r="U18" s="13">
        <f t="shared" si="1"/>
        <v>237790</v>
      </c>
      <c r="V18" s="13">
        <f t="shared" si="1"/>
        <v>248840</v>
      </c>
      <c r="W18" s="13">
        <f t="shared" si="1"/>
        <v>260740</v>
      </c>
      <c r="X18" s="13">
        <f t="shared" si="1"/>
        <v>273660</v>
      </c>
      <c r="Y18" s="13">
        <f t="shared" si="1"/>
        <v>287600</v>
      </c>
      <c r="Z18" s="13">
        <f t="shared" si="1"/>
        <v>302560</v>
      </c>
      <c r="AA18" s="13">
        <f t="shared" si="1"/>
        <v>318710</v>
      </c>
      <c r="AB18" s="13">
        <f t="shared" si="1"/>
        <v>336220</v>
      </c>
      <c r="AC18" s="13">
        <f t="shared" si="1"/>
        <v>355090</v>
      </c>
      <c r="AD18" s="13">
        <f t="shared" si="1"/>
        <v>375490</v>
      </c>
      <c r="AE18" s="13">
        <f t="shared" si="1"/>
        <v>397590</v>
      </c>
      <c r="AF18" s="13">
        <f t="shared" si="1"/>
        <v>421390</v>
      </c>
      <c r="AG18" s="13">
        <f t="shared" si="1"/>
        <v>447060</v>
      </c>
      <c r="AH18" s="13">
        <f t="shared" si="1"/>
        <v>474770</v>
      </c>
      <c r="AI18" s="13">
        <f t="shared" si="1"/>
        <v>504690</v>
      </c>
      <c r="AJ18" s="13">
        <f t="shared" si="1"/>
        <v>537160</v>
      </c>
      <c r="AK18" s="13">
        <f t="shared" si="1"/>
        <v>572180</v>
      </c>
      <c r="AL18" s="13">
        <f t="shared" si="1"/>
        <v>609920</v>
      </c>
    </row>
    <row r="19" spans="2:38" x14ac:dyDescent="0.3">
      <c r="B19" t="s">
        <v>30</v>
      </c>
      <c r="C19" s="13">
        <f t="shared" ref="C19:AL19" si="2">C13-C18</f>
        <v>-29794</v>
      </c>
      <c r="D19" s="13">
        <f t="shared" si="2"/>
        <v>-29911.599999999999</v>
      </c>
      <c r="E19" s="13">
        <f t="shared" si="2"/>
        <v>-30078.2</v>
      </c>
      <c r="F19" s="13">
        <f t="shared" si="2"/>
        <v>-30313.4</v>
      </c>
      <c r="G19" s="13">
        <f t="shared" si="2"/>
        <v>-30636.799999999999</v>
      </c>
      <c r="H19" s="13">
        <f t="shared" si="2"/>
        <v>-31087.599999999999</v>
      </c>
      <c r="I19" s="13">
        <f t="shared" si="2"/>
        <v>-31724.6</v>
      </c>
      <c r="J19" s="13">
        <f t="shared" si="2"/>
        <v>-32616.400000000001</v>
      </c>
      <c r="K19" s="13">
        <f t="shared" si="2"/>
        <v>-38626.25</v>
      </c>
      <c r="L19" s="13">
        <f t="shared" si="2"/>
        <v>-37967.5</v>
      </c>
      <c r="M19" s="13">
        <f t="shared" si="2"/>
        <v>-37245</v>
      </c>
      <c r="N19" s="13">
        <f t="shared" si="2"/>
        <v>-36458.75</v>
      </c>
      <c r="O19" s="13">
        <f t="shared" si="2"/>
        <v>-35608.75</v>
      </c>
      <c r="P19" s="13">
        <f t="shared" si="2"/>
        <v>-34673.75</v>
      </c>
      <c r="Q19" s="13">
        <f t="shared" si="2"/>
        <v>-33653.75</v>
      </c>
      <c r="R19" s="13">
        <f t="shared" si="2"/>
        <v>-32548.75</v>
      </c>
      <c r="S19" s="13">
        <f t="shared" si="2"/>
        <v>-31337.5</v>
      </c>
      <c r="T19" s="13">
        <f t="shared" si="2"/>
        <v>-30020</v>
      </c>
      <c r="U19" s="13">
        <f t="shared" si="2"/>
        <v>-12054</v>
      </c>
      <c r="V19" s="13">
        <f t="shared" si="2"/>
        <v>-5034</v>
      </c>
      <c r="W19" s="13">
        <f t="shared" si="2"/>
        <v>2526</v>
      </c>
      <c r="X19" s="13">
        <f t="shared" si="2"/>
        <v>10734</v>
      </c>
      <c r="Y19" s="13">
        <f t="shared" si="2"/>
        <v>19590</v>
      </c>
      <c r="Z19" s="13">
        <f t="shared" si="2"/>
        <v>29094</v>
      </c>
      <c r="AA19" s="13">
        <f t="shared" si="2"/>
        <v>39354</v>
      </c>
      <c r="AB19" s="13">
        <f t="shared" si="2"/>
        <v>50478</v>
      </c>
      <c r="AC19" s="13">
        <f t="shared" si="2"/>
        <v>62466</v>
      </c>
      <c r="AD19" s="13">
        <f t="shared" si="2"/>
        <v>75426</v>
      </c>
      <c r="AE19" s="13">
        <f t="shared" si="2"/>
        <v>89466</v>
      </c>
      <c r="AF19" s="13">
        <f t="shared" si="2"/>
        <v>104586</v>
      </c>
      <c r="AG19" s="13">
        <f t="shared" si="2"/>
        <v>120894</v>
      </c>
      <c r="AH19" s="13">
        <f t="shared" si="2"/>
        <v>138498</v>
      </c>
      <c r="AI19" s="13">
        <f t="shared" si="2"/>
        <v>157506</v>
      </c>
      <c r="AJ19" s="13">
        <f t="shared" si="2"/>
        <v>178134</v>
      </c>
      <c r="AK19" s="13">
        <f t="shared" si="2"/>
        <v>200382</v>
      </c>
      <c r="AL19" s="13">
        <f t="shared" si="2"/>
        <v>224358</v>
      </c>
    </row>
    <row r="20" spans="2:38" x14ac:dyDescent="0.3">
      <c r="B20" t="s">
        <v>29</v>
      </c>
      <c r="C20" s="15">
        <f>IF(C19&gt;0,C19*0.15,0)</f>
        <v>0</v>
      </c>
      <c r="D20" s="15">
        <f t="shared" ref="D20:AL20" si="3">IF(D19&gt;0,D19*0.15,0)</f>
        <v>0</v>
      </c>
      <c r="E20" s="15">
        <f t="shared" si="3"/>
        <v>0</v>
      </c>
      <c r="F20" s="15">
        <f t="shared" si="3"/>
        <v>0</v>
      </c>
      <c r="G20" s="15">
        <f t="shared" si="3"/>
        <v>0</v>
      </c>
      <c r="H20" s="15">
        <f t="shared" si="3"/>
        <v>0</v>
      </c>
      <c r="I20" s="15">
        <f t="shared" si="3"/>
        <v>0</v>
      </c>
      <c r="J20" s="15">
        <f t="shared" si="3"/>
        <v>0</v>
      </c>
      <c r="K20" s="15">
        <f t="shared" si="3"/>
        <v>0</v>
      </c>
      <c r="L20" s="15">
        <f t="shared" si="3"/>
        <v>0</v>
      </c>
      <c r="M20" s="15">
        <f t="shared" si="3"/>
        <v>0</v>
      </c>
      <c r="N20" s="15">
        <f t="shared" si="3"/>
        <v>0</v>
      </c>
      <c r="O20" s="15">
        <f t="shared" si="3"/>
        <v>0</v>
      </c>
      <c r="P20" s="15">
        <f t="shared" si="3"/>
        <v>0</v>
      </c>
      <c r="Q20" s="15">
        <f t="shared" si="3"/>
        <v>0</v>
      </c>
      <c r="R20" s="15">
        <f t="shared" si="3"/>
        <v>0</v>
      </c>
      <c r="S20" s="15">
        <f t="shared" si="3"/>
        <v>0</v>
      </c>
      <c r="T20" s="15">
        <f t="shared" si="3"/>
        <v>0</v>
      </c>
      <c r="U20" s="15">
        <f t="shared" si="3"/>
        <v>0</v>
      </c>
      <c r="V20" s="15">
        <f t="shared" si="3"/>
        <v>0</v>
      </c>
      <c r="W20" s="15">
        <f t="shared" si="3"/>
        <v>378.9</v>
      </c>
      <c r="X20" s="15">
        <f t="shared" si="3"/>
        <v>1610.1</v>
      </c>
      <c r="Y20" s="15">
        <f t="shared" si="3"/>
        <v>2938.5</v>
      </c>
      <c r="Z20" s="15">
        <f t="shared" si="3"/>
        <v>4364.0999999999995</v>
      </c>
      <c r="AA20" s="15">
        <f t="shared" si="3"/>
        <v>5903.0999999999995</v>
      </c>
      <c r="AB20" s="15">
        <f t="shared" si="3"/>
        <v>7571.7</v>
      </c>
      <c r="AC20" s="15">
        <f t="shared" si="3"/>
        <v>9369.9</v>
      </c>
      <c r="AD20" s="15">
        <f t="shared" si="3"/>
        <v>11313.9</v>
      </c>
      <c r="AE20" s="15">
        <f t="shared" si="3"/>
        <v>13419.9</v>
      </c>
      <c r="AF20" s="15">
        <f t="shared" si="3"/>
        <v>15687.9</v>
      </c>
      <c r="AG20" s="15">
        <f t="shared" si="3"/>
        <v>18134.099999999999</v>
      </c>
      <c r="AH20" s="15">
        <f t="shared" si="3"/>
        <v>20774.7</v>
      </c>
      <c r="AI20" s="15">
        <f t="shared" si="3"/>
        <v>23625.899999999998</v>
      </c>
      <c r="AJ20" s="15">
        <f t="shared" si="3"/>
        <v>26720.1</v>
      </c>
      <c r="AK20" s="15">
        <f t="shared" si="3"/>
        <v>30057.3</v>
      </c>
      <c r="AL20" s="15">
        <f t="shared" si="3"/>
        <v>33653.699999999997</v>
      </c>
    </row>
    <row r="21" spans="2:38" x14ac:dyDescent="0.3">
      <c r="B21" t="s">
        <v>28</v>
      </c>
      <c r="C21" s="13">
        <f>C19-C20</f>
        <v>-29794</v>
      </c>
      <c r="D21" s="13">
        <f t="shared" ref="D21:AL21" si="4">D19-D20</f>
        <v>-29911.599999999999</v>
      </c>
      <c r="E21" s="13">
        <f t="shared" si="4"/>
        <v>-30078.2</v>
      </c>
      <c r="F21" s="13">
        <f t="shared" si="4"/>
        <v>-30313.4</v>
      </c>
      <c r="G21" s="13">
        <f t="shared" si="4"/>
        <v>-30636.799999999999</v>
      </c>
      <c r="H21" s="13">
        <f t="shared" si="4"/>
        <v>-31087.599999999999</v>
      </c>
      <c r="I21" s="13">
        <f t="shared" si="4"/>
        <v>-31724.6</v>
      </c>
      <c r="J21" s="13">
        <f t="shared" si="4"/>
        <v>-32616.400000000001</v>
      </c>
      <c r="K21" s="13">
        <f t="shared" si="4"/>
        <v>-38626.25</v>
      </c>
      <c r="L21" s="13">
        <f t="shared" si="4"/>
        <v>-37967.5</v>
      </c>
      <c r="M21" s="13">
        <f t="shared" si="4"/>
        <v>-37245</v>
      </c>
      <c r="N21" s="13">
        <f t="shared" si="4"/>
        <v>-36458.75</v>
      </c>
      <c r="O21" s="13">
        <f t="shared" si="4"/>
        <v>-35608.75</v>
      </c>
      <c r="P21" s="13">
        <f t="shared" si="4"/>
        <v>-34673.75</v>
      </c>
      <c r="Q21" s="13">
        <f t="shared" si="4"/>
        <v>-33653.75</v>
      </c>
      <c r="R21" s="13">
        <f t="shared" si="4"/>
        <v>-32548.75</v>
      </c>
      <c r="S21" s="13">
        <f t="shared" si="4"/>
        <v>-31337.5</v>
      </c>
      <c r="T21" s="13">
        <f t="shared" si="4"/>
        <v>-30020</v>
      </c>
      <c r="U21" s="13">
        <f t="shared" si="4"/>
        <v>-12054</v>
      </c>
      <c r="V21" s="13">
        <f t="shared" si="4"/>
        <v>-5034</v>
      </c>
      <c r="W21" s="13">
        <f t="shared" si="4"/>
        <v>2147.1</v>
      </c>
      <c r="X21" s="13">
        <f t="shared" si="4"/>
        <v>9123.9</v>
      </c>
      <c r="Y21" s="13">
        <f t="shared" si="4"/>
        <v>16651.5</v>
      </c>
      <c r="Z21" s="13">
        <f t="shared" si="4"/>
        <v>24729.9</v>
      </c>
      <c r="AA21" s="13">
        <f t="shared" si="4"/>
        <v>33450.9</v>
      </c>
      <c r="AB21" s="13">
        <f t="shared" si="4"/>
        <v>42906.3</v>
      </c>
      <c r="AC21" s="13">
        <f t="shared" si="4"/>
        <v>53096.1</v>
      </c>
      <c r="AD21" s="13">
        <f t="shared" si="4"/>
        <v>64112.1</v>
      </c>
      <c r="AE21" s="13">
        <f t="shared" si="4"/>
        <v>76046.100000000006</v>
      </c>
      <c r="AF21" s="13">
        <f t="shared" si="4"/>
        <v>88898.1</v>
      </c>
      <c r="AG21" s="13">
        <f t="shared" si="4"/>
        <v>102759.9</v>
      </c>
      <c r="AH21" s="13">
        <f t="shared" si="4"/>
        <v>117723.3</v>
      </c>
      <c r="AI21" s="13">
        <f t="shared" si="4"/>
        <v>133880.1</v>
      </c>
      <c r="AJ21" s="13">
        <f t="shared" si="4"/>
        <v>151413.9</v>
      </c>
      <c r="AK21" s="13">
        <f t="shared" si="4"/>
        <v>170324.7</v>
      </c>
      <c r="AL21" s="13">
        <f t="shared" si="4"/>
        <v>190704.3</v>
      </c>
    </row>
    <row r="26" spans="2:38" x14ac:dyDescent="0.3">
      <c r="F26" s="13">
        <f>SUM(C6:T6)</f>
        <v>71997.5</v>
      </c>
      <c r="G26" t="s">
        <v>117</v>
      </c>
    </row>
    <row r="27" spans="2:38" x14ac:dyDescent="0.3">
      <c r="F27" s="13">
        <f>SUM(C16:T16)</f>
        <v>80000</v>
      </c>
      <c r="G27" t="s">
        <v>118</v>
      </c>
    </row>
  </sheetData>
  <mergeCells count="3">
    <mergeCell ref="C2:J2"/>
    <mergeCell ref="K2:T2"/>
    <mergeCell ref="U2:AL2"/>
  </mergeCells>
  <phoneticPr fontId="6" type="noConversion"/>
  <conditionalFormatting sqref="C19:AL19">
    <cfRule type="cellIs" dxfId="7" priority="4" operator="greaterThan">
      <formula>0</formula>
    </cfRule>
    <cfRule type="cellIs" dxfId="6" priority="5" operator="lessThan">
      <formula>0</formula>
    </cfRule>
    <cfRule type="colorScale" priority="6">
      <colorScale>
        <cfvo type="min"/>
        <cfvo type="percentile" val="0"/>
        <cfvo type="max"/>
        <color rgb="FF63BE7B"/>
        <color rgb="FFFCFCFF"/>
        <color rgb="FFF8696B"/>
      </colorScale>
    </cfRule>
  </conditionalFormatting>
  <conditionalFormatting sqref="C21:AL21">
    <cfRule type="cellIs" dxfId="5" priority="1" operator="greaterThan">
      <formula>0</formula>
    </cfRule>
    <cfRule type="cellIs" dxfId="4" priority="2" operator="lessThan">
      <formula>0</formula>
    </cfRule>
    <cfRule type="colorScale" priority="3">
      <colorScale>
        <cfvo type="min"/>
        <cfvo type="percentile" val="0"/>
        <cfvo type="max"/>
        <color rgb="FF63BE7B"/>
        <color rgb="FFFCFCFF"/>
        <color rgb="FFF8696B"/>
      </colorScale>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9F6F4-05CD-494C-AC7D-E09B3001CC08}">
  <sheetPr>
    <tabColor theme="4"/>
  </sheetPr>
  <dimension ref="B2:AL9"/>
  <sheetViews>
    <sheetView zoomScaleNormal="115" workbookViewId="0">
      <pane xSplit="2" ySplit="2" topLeftCell="C3" activePane="bottomRight" state="frozen"/>
      <selection pane="topRight" activeCell="C1" sqref="C1"/>
      <selection pane="bottomLeft" activeCell="A3" sqref="A3"/>
      <selection pane="bottomRight" activeCell="AL13" sqref="AL13"/>
    </sheetView>
  </sheetViews>
  <sheetFormatPr defaultRowHeight="14.4" x14ac:dyDescent="0.3"/>
  <cols>
    <col min="2" max="2" width="28.44140625" bestFit="1" customWidth="1"/>
    <col min="3" max="38" width="13.33203125" customWidth="1"/>
  </cols>
  <sheetData>
    <row r="2" spans="2:38" x14ac:dyDescent="0.3">
      <c r="C2" s="24" t="s">
        <v>97</v>
      </c>
      <c r="D2" s="24"/>
      <c r="E2" s="24"/>
      <c r="F2" s="24"/>
      <c r="G2" s="24"/>
      <c r="H2" s="24"/>
      <c r="I2" s="24"/>
      <c r="J2" s="24"/>
      <c r="K2" s="25" t="s">
        <v>98</v>
      </c>
      <c r="L2" s="25"/>
      <c r="M2" s="25"/>
      <c r="N2" s="25"/>
      <c r="O2" s="25"/>
      <c r="P2" s="25"/>
      <c r="Q2" s="25"/>
      <c r="R2" s="25"/>
      <c r="S2" s="25"/>
      <c r="T2" s="25"/>
      <c r="U2" s="26" t="s">
        <v>99</v>
      </c>
      <c r="V2" s="26"/>
      <c r="W2" s="26"/>
      <c r="X2" s="26"/>
      <c r="Y2" s="26"/>
      <c r="Z2" s="26"/>
      <c r="AA2" s="26"/>
      <c r="AB2" s="26"/>
      <c r="AC2" s="26"/>
      <c r="AD2" s="26"/>
      <c r="AE2" s="26"/>
      <c r="AF2" s="26"/>
      <c r="AG2" s="26"/>
      <c r="AH2" s="26"/>
      <c r="AI2" s="26"/>
      <c r="AJ2" s="26"/>
      <c r="AK2" s="26"/>
      <c r="AL2" s="26"/>
    </row>
    <row r="3" spans="2:38" x14ac:dyDescent="0.3">
      <c r="B3" t="s">
        <v>0</v>
      </c>
      <c r="C3" s="9" t="s">
        <v>81</v>
      </c>
      <c r="D3" s="9" t="s">
        <v>80</v>
      </c>
      <c r="E3" s="9" t="s">
        <v>79</v>
      </c>
      <c r="F3" s="9" t="s">
        <v>78</v>
      </c>
      <c r="G3" s="9" t="s">
        <v>77</v>
      </c>
      <c r="H3" s="9" t="s">
        <v>76</v>
      </c>
      <c r="I3" s="9" t="s">
        <v>75</v>
      </c>
      <c r="J3" s="9" t="s">
        <v>74</v>
      </c>
      <c r="K3" s="9" t="s">
        <v>73</v>
      </c>
      <c r="L3" s="9" t="s">
        <v>72</v>
      </c>
      <c r="M3" s="9" t="s">
        <v>71</v>
      </c>
      <c r="N3" s="9" t="s">
        <v>70</v>
      </c>
      <c r="O3" s="9" t="s">
        <v>69</v>
      </c>
      <c r="P3" s="9" t="s">
        <v>68</v>
      </c>
      <c r="Q3" s="9" t="s">
        <v>67</v>
      </c>
      <c r="R3" s="9" t="s">
        <v>66</v>
      </c>
      <c r="S3" s="9" t="s">
        <v>65</v>
      </c>
      <c r="T3" s="9" t="s">
        <v>64</v>
      </c>
      <c r="U3" s="9" t="s">
        <v>63</v>
      </c>
      <c r="V3" s="9" t="s">
        <v>62</v>
      </c>
      <c r="W3" s="9" t="s">
        <v>61</v>
      </c>
      <c r="X3" s="9" t="s">
        <v>60</v>
      </c>
      <c r="Y3" s="9" t="s">
        <v>59</v>
      </c>
      <c r="Z3" s="9" t="s">
        <v>58</v>
      </c>
      <c r="AA3" s="9" t="s">
        <v>57</v>
      </c>
      <c r="AB3" s="9" t="s">
        <v>56</v>
      </c>
      <c r="AC3" s="9" t="s">
        <v>55</v>
      </c>
      <c r="AD3" s="9" t="s">
        <v>54</v>
      </c>
      <c r="AE3" s="9" t="s">
        <v>53</v>
      </c>
      <c r="AF3" s="9" t="s">
        <v>52</v>
      </c>
      <c r="AG3" s="9" t="s">
        <v>51</v>
      </c>
      <c r="AH3" s="9" t="s">
        <v>50</v>
      </c>
      <c r="AI3" s="9" t="s">
        <v>49</v>
      </c>
      <c r="AJ3" s="9" t="s">
        <v>48</v>
      </c>
      <c r="AK3" s="9" t="s">
        <v>47</v>
      </c>
      <c r="AL3" s="9" t="s">
        <v>46</v>
      </c>
    </row>
    <row r="4" spans="2:38" x14ac:dyDescent="0.3">
      <c r="B4" t="s">
        <v>82</v>
      </c>
      <c r="C4">
        <f>ROUND('36-month forecast'!C8/600,0)</f>
        <v>1</v>
      </c>
      <c r="D4">
        <f>ROUND('36-month forecast'!D8/600,0)</f>
        <v>1</v>
      </c>
      <c r="E4">
        <f>ROUND('36-month forecast'!E8/600,0)</f>
        <v>2</v>
      </c>
      <c r="F4">
        <f>ROUND('36-month forecast'!F8/600,0)</f>
        <v>3</v>
      </c>
      <c r="G4">
        <f>ROUND('36-month forecast'!G8/600,0)</f>
        <v>4</v>
      </c>
      <c r="H4">
        <f>ROUND('36-month forecast'!H8/600,0)</f>
        <v>5</v>
      </c>
      <c r="I4">
        <f>ROUND('36-month forecast'!I8/600,0)</f>
        <v>8</v>
      </c>
      <c r="J4">
        <f>ROUND('36-month forecast'!J8/600,0)</f>
        <v>11</v>
      </c>
      <c r="K4">
        <f>ROUND('36-month forecast'!K8/600,0)</f>
        <v>14</v>
      </c>
      <c r="L4">
        <f>ROUND('36-month forecast'!L8/600,0)</f>
        <v>16</v>
      </c>
      <c r="M4">
        <f>ROUND('36-month forecast'!M8/600,0)</f>
        <v>17</v>
      </c>
      <c r="N4">
        <f>ROUND('36-month forecast'!N8/600,0)</f>
        <v>19</v>
      </c>
      <c r="O4">
        <f>ROUND('36-month forecast'!O8/600,0)</f>
        <v>20</v>
      </c>
      <c r="P4">
        <f>ROUND('36-month forecast'!P8/600,0)</f>
        <v>22</v>
      </c>
      <c r="Q4">
        <f>ROUND('36-month forecast'!Q8/600,0)</f>
        <v>24</v>
      </c>
      <c r="R4">
        <f>ROUND('36-month forecast'!R8/600,0)</f>
        <v>26</v>
      </c>
      <c r="S4">
        <f>ROUND('36-month forecast'!S8/600,0)</f>
        <v>29</v>
      </c>
      <c r="T4">
        <f>ROUND('36-month forecast'!T8/600,0)</f>
        <v>31</v>
      </c>
      <c r="U4">
        <f>ROUND('36-month forecast'!U8/600,0)</f>
        <v>54</v>
      </c>
      <c r="V4">
        <f>ROUND('36-month forecast'!V8/600,0)</f>
        <v>58</v>
      </c>
      <c r="W4">
        <f>ROUND('36-month forecast'!W8/600,0)</f>
        <v>63</v>
      </c>
      <c r="X4">
        <f>ROUND('36-month forecast'!X8/600,0)</f>
        <v>68</v>
      </c>
      <c r="Y4">
        <f>ROUND('36-month forecast'!Y8/600,0)</f>
        <v>74</v>
      </c>
      <c r="Z4">
        <f>ROUND('36-month forecast'!Z8/600,0)</f>
        <v>80</v>
      </c>
      <c r="AA4">
        <f>ROUND('36-month forecast'!AA8/600,0)</f>
        <v>86</v>
      </c>
      <c r="AB4">
        <f>ROUND('36-month forecast'!AB8/600,0)</f>
        <v>93</v>
      </c>
      <c r="AC4">
        <f>ROUND('36-month forecast'!AC8/600,0)</f>
        <v>100</v>
      </c>
      <c r="AD4">
        <f>ROUND('36-month forecast'!AD8/600,0)</f>
        <v>108</v>
      </c>
      <c r="AE4">
        <f>ROUND('36-month forecast'!AE8/600,0)</f>
        <v>117</v>
      </c>
      <c r="AF4">
        <f>ROUND('36-month forecast'!AF8/600,0)</f>
        <v>126</v>
      </c>
      <c r="AG4">
        <f>ROUND('36-month forecast'!AG8/600,0)</f>
        <v>136</v>
      </c>
      <c r="AH4">
        <f>ROUND('36-month forecast'!AH8/600,0)</f>
        <v>147</v>
      </c>
      <c r="AI4">
        <f>ROUND('36-month forecast'!AI8/600,0)</f>
        <v>159</v>
      </c>
      <c r="AJ4">
        <f>ROUND('36-month forecast'!AJ8/600,0)</f>
        <v>172</v>
      </c>
      <c r="AK4">
        <f>ROUND('36-month forecast'!AK8/600,0)</f>
        <v>185</v>
      </c>
      <c r="AL4">
        <f>ROUND('36-month forecast'!AL8/600,0)</f>
        <v>200</v>
      </c>
    </row>
    <row r="5" spans="2:38" x14ac:dyDescent="0.3">
      <c r="B5" t="s">
        <v>83</v>
      </c>
      <c r="C5">
        <f>ROUND('36-month forecast'!C8/600,0)</f>
        <v>1</v>
      </c>
      <c r="D5">
        <f>ROUND('36-month forecast'!D8/600,0)</f>
        <v>1</v>
      </c>
      <c r="E5">
        <f>ROUND('36-month forecast'!E8/600,0)</f>
        <v>2</v>
      </c>
      <c r="F5">
        <f>ROUND('36-month forecast'!F8/600,0)</f>
        <v>3</v>
      </c>
      <c r="G5">
        <f>ROUND('36-month forecast'!G8/600,0)</f>
        <v>4</v>
      </c>
      <c r="H5">
        <f>ROUND('36-month forecast'!H8/600,0)</f>
        <v>5</v>
      </c>
      <c r="I5">
        <f>ROUND('36-month forecast'!I8/1000,0)</f>
        <v>5</v>
      </c>
      <c r="J5">
        <f>ROUND('36-month forecast'!J8/1000,0)</f>
        <v>6</v>
      </c>
      <c r="K5">
        <f>ROUND('36-month forecast'!K8/1000,0)</f>
        <v>9</v>
      </c>
      <c r="L5">
        <f>ROUND('36-month forecast'!L8/1000,0)</f>
        <v>9</v>
      </c>
      <c r="M5">
        <f>ROUND('36-month forecast'!M8/1000,0)</f>
        <v>10</v>
      </c>
      <c r="N5">
        <f>ROUND('36-month forecast'!N8/1000,0)</f>
        <v>11</v>
      </c>
      <c r="O5">
        <f>ROUND('36-month forecast'!O8/1000,0)</f>
        <v>12</v>
      </c>
      <c r="P5">
        <f>ROUND('36-month forecast'!P8/1000,0)</f>
        <v>13</v>
      </c>
      <c r="Q5">
        <f>ROUND('36-month forecast'!Q8/1000,0)</f>
        <v>15</v>
      </c>
      <c r="R5">
        <f>ROUND('36-month forecast'!R8/1000,0)</f>
        <v>16</v>
      </c>
      <c r="S5">
        <f>ROUND('36-month forecast'!S8/1000,0)</f>
        <v>17</v>
      </c>
      <c r="T5">
        <f>ROUND('36-month forecast'!T8/1000,0)</f>
        <v>19</v>
      </c>
      <c r="U5">
        <f>ROUND('36-month forecast'!U8/1500,0)</f>
        <v>22</v>
      </c>
      <c r="V5">
        <f>ROUND('36-month forecast'!V8/1500,0)</f>
        <v>23</v>
      </c>
      <c r="W5">
        <f>ROUND('36-month forecast'!W8/1500,0)</f>
        <v>25</v>
      </c>
      <c r="X5">
        <f>ROUND('36-month forecast'!X8/1500,0)</f>
        <v>27</v>
      </c>
      <c r="Y5">
        <f>ROUND('36-month forecast'!Y8/1500,0)</f>
        <v>29</v>
      </c>
      <c r="Z5">
        <f>ROUND('36-month forecast'!Z8/1500,0)</f>
        <v>32</v>
      </c>
      <c r="AA5">
        <f>ROUND('36-month forecast'!AA8/1500,0)</f>
        <v>34</v>
      </c>
      <c r="AB5">
        <f>ROUND('36-month forecast'!AB8/1500,0)</f>
        <v>37</v>
      </c>
      <c r="AC5">
        <f>ROUND('36-month forecast'!AC8/1500,0)</f>
        <v>40</v>
      </c>
      <c r="AD5">
        <f>ROUND('36-month forecast'!AD8/1500,0)</f>
        <v>43</v>
      </c>
      <c r="AE5">
        <f>ROUND('36-month forecast'!AE8/1500,0)</f>
        <v>47</v>
      </c>
      <c r="AF5">
        <f>ROUND('36-month forecast'!AF8/1500,0)</f>
        <v>50</v>
      </c>
      <c r="AG5">
        <f>ROUND('36-month forecast'!AG8/1500,0)</f>
        <v>54</v>
      </c>
      <c r="AH5">
        <f>ROUND('36-month forecast'!AH8/1500,0)</f>
        <v>59</v>
      </c>
      <c r="AI5">
        <f>ROUND('36-month forecast'!AI8/1500,0)</f>
        <v>64</v>
      </c>
      <c r="AJ5">
        <f>ROUND('36-month forecast'!AJ8/1500,0)</f>
        <v>69</v>
      </c>
      <c r="AK5">
        <f>ROUND('36-month forecast'!AK8/1500,0)</f>
        <v>74</v>
      </c>
      <c r="AL5">
        <f>ROUND('36-month forecast'!AL8/1500,0)</f>
        <v>80</v>
      </c>
    </row>
    <row r="6" spans="2:38" x14ac:dyDescent="0.3">
      <c r="B6" t="s">
        <v>90</v>
      </c>
      <c r="C6">
        <f>ROUNDUP((SUM('36-month forecast'!C4:C5)*0.05/400),0)</f>
        <v>1</v>
      </c>
      <c r="D6">
        <f>ROUNDUP((SUM('36-month forecast'!D4:D5)*0.03/400),0)</f>
        <v>1</v>
      </c>
      <c r="E6">
        <f>ROUNDUP((SUM('36-month forecast'!E4:E5)*0.03/400),0)</f>
        <v>1</v>
      </c>
      <c r="F6">
        <f>ROUNDUP((SUM('36-month forecast'!F4:F5)*0.03/400),0)</f>
        <v>1</v>
      </c>
      <c r="G6">
        <f>ROUNDUP((SUM('36-month forecast'!G4:G5)*0.03/400),0)</f>
        <v>1</v>
      </c>
      <c r="H6">
        <f>ROUNDUP((SUM('36-month forecast'!H4:H5)*0.03/400),0)</f>
        <v>1</v>
      </c>
      <c r="I6">
        <f>ROUNDUP((SUM('36-month forecast'!I4:I5)*0.03/400),0)</f>
        <v>1</v>
      </c>
      <c r="J6">
        <f>ROUNDUP((SUM('36-month forecast'!J4:J5)*0.03/400),0)</f>
        <v>1</v>
      </c>
      <c r="K6">
        <f>ROUNDUP((SUM('36-month forecast'!K4:K5)*0.03/400),0)</f>
        <v>1</v>
      </c>
      <c r="L6">
        <f>ROUNDUP((SUM('36-month forecast'!L4:L5)*0.03/400),0)</f>
        <v>1</v>
      </c>
      <c r="M6">
        <f>ROUNDUP((SUM('36-month forecast'!M4:M5)*0.03/400),0)</f>
        <v>1</v>
      </c>
      <c r="N6">
        <f>ROUNDUP((SUM('36-month forecast'!N4:N5)*0.03/400),0)</f>
        <v>1</v>
      </c>
      <c r="O6">
        <f>ROUNDUP((SUM('36-month forecast'!O4:O5)*0.03/400),0)</f>
        <v>1</v>
      </c>
      <c r="P6">
        <f>ROUNDUP((SUM('36-month forecast'!P4:P5)*0.03/400),0)</f>
        <v>1</v>
      </c>
      <c r="Q6">
        <f>ROUNDUP((SUM('36-month forecast'!Q4:Q5)*0.03/400),0)</f>
        <v>1</v>
      </c>
      <c r="R6">
        <f>ROUNDUP((SUM('36-month forecast'!R4:R5)*0.03/400),0)</f>
        <v>1</v>
      </c>
      <c r="S6">
        <f>ROUNDUP((SUM('36-month forecast'!S4:S5)*0.03/400),0)</f>
        <v>2</v>
      </c>
      <c r="T6">
        <f>ROUNDUP((SUM('36-month forecast'!T4:T5)*0.03/400),0)</f>
        <v>2</v>
      </c>
      <c r="U6">
        <f>ROUNDUP((SUM('36-month forecast'!U4:U5)*0.03/400),0)</f>
        <v>2</v>
      </c>
      <c r="V6">
        <f>ROUNDUP((SUM('36-month forecast'!V4:V5)*0.03/400),0)</f>
        <v>2</v>
      </c>
      <c r="W6">
        <f>ROUNDUP((SUM('36-month forecast'!W4:W5)*0.03/400),0)</f>
        <v>3</v>
      </c>
      <c r="X6">
        <f>ROUNDUP((SUM('36-month forecast'!X4:X5)*0.03/400),0)</f>
        <v>3</v>
      </c>
      <c r="Y6">
        <f>ROUNDUP((SUM('36-month forecast'!Y4:Y5)*0.03/400),0)</f>
        <v>3</v>
      </c>
      <c r="Z6">
        <f>ROUNDUP((SUM('36-month forecast'!Z4:Z5)*0.03/400),0)</f>
        <v>4</v>
      </c>
      <c r="AA6">
        <f>ROUNDUP((SUM('36-month forecast'!AA4:AA5)*0.03/400),0)</f>
        <v>4</v>
      </c>
      <c r="AB6">
        <f>ROUNDUP((SUM('36-month forecast'!AB4:AB5)*0.03/400),0)</f>
        <v>5</v>
      </c>
      <c r="AC6">
        <f>ROUNDUP((SUM('36-month forecast'!AC4:AC5)*0.03/400),0)</f>
        <v>6</v>
      </c>
      <c r="AD6">
        <f>ROUNDUP((SUM('36-month forecast'!AD4:AD5)*0.03/400),0)</f>
        <v>6</v>
      </c>
      <c r="AE6">
        <f>ROUNDUP((SUM('36-month forecast'!AE4:AE5)*0.03/400),0)</f>
        <v>7</v>
      </c>
      <c r="AF6">
        <f>ROUNDUP((SUM('36-month forecast'!AF4:AF5)*0.03/400),0)</f>
        <v>8</v>
      </c>
      <c r="AG6">
        <f>ROUNDUP((SUM('36-month forecast'!AG4:AG5)*0.03/400),0)</f>
        <v>10</v>
      </c>
      <c r="AH6">
        <f>ROUNDUP((SUM('36-month forecast'!AH4:AH5)*0.03/400),0)</f>
        <v>11</v>
      </c>
      <c r="AI6">
        <f>ROUNDUP((SUM('36-month forecast'!AI4:AI5)*0.03/400),0)</f>
        <v>13</v>
      </c>
      <c r="AJ6">
        <f>ROUNDUP((SUM('36-month forecast'!AJ4:AJ5)*0.03/400),0)</f>
        <v>14</v>
      </c>
      <c r="AK6">
        <f>ROUNDUP((SUM('36-month forecast'!AK4:AK5)*0.03/400),0)</f>
        <v>16</v>
      </c>
      <c r="AL6">
        <f>ROUNDUP((SUM('36-month forecast'!AL4:AL5)*0.03/400),0)</f>
        <v>19</v>
      </c>
    </row>
    <row r="7" spans="2:38" x14ac:dyDescent="0.3">
      <c r="B7" t="s">
        <v>84</v>
      </c>
      <c r="C7" s="28">
        <f>'36-month forecast'!C7</f>
        <v>30</v>
      </c>
      <c r="D7" s="28">
        <f>'36-month forecast'!D7</f>
        <v>42</v>
      </c>
      <c r="E7" s="28">
        <f>'36-month forecast'!E7</f>
        <v>59</v>
      </c>
      <c r="F7" s="28">
        <f>'36-month forecast'!F7</f>
        <v>83</v>
      </c>
      <c r="G7" s="28">
        <f>'36-month forecast'!G7</f>
        <v>116</v>
      </c>
      <c r="H7" s="28">
        <f>'36-month forecast'!H7</f>
        <v>162</v>
      </c>
      <c r="I7" s="28">
        <f>'36-month forecast'!I7</f>
        <v>227</v>
      </c>
      <c r="J7" s="28">
        <f>'36-month forecast'!J7</f>
        <v>318</v>
      </c>
      <c r="K7" s="28">
        <f>'36-month forecast'!K7</f>
        <v>347</v>
      </c>
      <c r="L7" s="28">
        <f>'36-month forecast'!L7</f>
        <v>378</v>
      </c>
      <c r="M7" s="28">
        <f>'36-month forecast'!M7</f>
        <v>412</v>
      </c>
      <c r="N7" s="28">
        <f>'36-month forecast'!N7</f>
        <v>449</v>
      </c>
      <c r="O7" s="28">
        <f>'36-month forecast'!O7</f>
        <v>489</v>
      </c>
      <c r="P7" s="28">
        <f>'36-month forecast'!P7</f>
        <v>533</v>
      </c>
      <c r="Q7" s="28">
        <f>'36-month forecast'!Q7</f>
        <v>581</v>
      </c>
      <c r="R7" s="28">
        <f>'36-month forecast'!R7</f>
        <v>633</v>
      </c>
      <c r="S7" s="28">
        <f>'36-month forecast'!S7</f>
        <v>690</v>
      </c>
      <c r="T7" s="28">
        <f>'36-month forecast'!T7</f>
        <v>752</v>
      </c>
      <c r="U7" s="28">
        <f>'36-month forecast'!U7</f>
        <v>812</v>
      </c>
      <c r="V7" s="28">
        <f>'36-month forecast'!V7</f>
        <v>877</v>
      </c>
      <c r="W7" s="28">
        <f>'36-month forecast'!W7</f>
        <v>947</v>
      </c>
      <c r="X7" s="28">
        <f>'36-month forecast'!X7</f>
        <v>1023</v>
      </c>
      <c r="Y7" s="28">
        <f>'36-month forecast'!Y7</f>
        <v>1105</v>
      </c>
      <c r="Z7" s="28">
        <f>'36-month forecast'!Z7</f>
        <v>1193</v>
      </c>
      <c r="AA7" s="28">
        <f>'36-month forecast'!AA7</f>
        <v>1288</v>
      </c>
      <c r="AB7" s="28">
        <f>'36-month forecast'!AB7</f>
        <v>1391</v>
      </c>
      <c r="AC7" s="28">
        <f>'36-month forecast'!AC7</f>
        <v>1502</v>
      </c>
      <c r="AD7" s="28">
        <f>'36-month forecast'!AD7</f>
        <v>1622</v>
      </c>
      <c r="AE7" s="28">
        <f>'36-month forecast'!AE7</f>
        <v>1752</v>
      </c>
      <c r="AF7" s="28">
        <f>'36-month forecast'!AF7</f>
        <v>1892</v>
      </c>
      <c r="AG7" s="28">
        <f>'36-month forecast'!AG7</f>
        <v>2043</v>
      </c>
      <c r="AH7" s="28">
        <f>'36-month forecast'!AH7</f>
        <v>2206</v>
      </c>
      <c r="AI7" s="28">
        <f>'36-month forecast'!AI7</f>
        <v>2382</v>
      </c>
      <c r="AJ7" s="28">
        <f>'36-month forecast'!AJ7</f>
        <v>2573</v>
      </c>
      <c r="AK7" s="28">
        <f>'36-month forecast'!AK7</f>
        <v>2779</v>
      </c>
      <c r="AL7" s="28">
        <f>'36-month forecast'!AL7</f>
        <v>3001</v>
      </c>
    </row>
    <row r="8" spans="2:38" x14ac:dyDescent="0.3">
      <c r="B8" t="s">
        <v>86</v>
      </c>
      <c r="C8" s="44">
        <f>ROUND(C7*0.3,0)</f>
        <v>9</v>
      </c>
      <c r="D8" s="44">
        <f t="shared" ref="D8:AL8" si="0">ROUND(D7*0.3,0)</f>
        <v>13</v>
      </c>
      <c r="E8" s="44">
        <f t="shared" si="0"/>
        <v>18</v>
      </c>
      <c r="F8" s="44">
        <f t="shared" si="0"/>
        <v>25</v>
      </c>
      <c r="G8" s="44">
        <f t="shared" si="0"/>
        <v>35</v>
      </c>
      <c r="H8" s="44">
        <f t="shared" si="0"/>
        <v>49</v>
      </c>
      <c r="I8" s="44">
        <f t="shared" si="0"/>
        <v>68</v>
      </c>
      <c r="J8" s="44">
        <f t="shared" si="0"/>
        <v>95</v>
      </c>
      <c r="K8" s="44">
        <f t="shared" si="0"/>
        <v>104</v>
      </c>
      <c r="L8" s="44">
        <f t="shared" si="0"/>
        <v>113</v>
      </c>
      <c r="M8" s="44">
        <f t="shared" si="0"/>
        <v>124</v>
      </c>
      <c r="N8" s="44">
        <f t="shared" si="0"/>
        <v>135</v>
      </c>
      <c r="O8" s="44">
        <f t="shared" si="0"/>
        <v>147</v>
      </c>
      <c r="P8" s="44">
        <f t="shared" si="0"/>
        <v>160</v>
      </c>
      <c r="Q8" s="44">
        <f t="shared" si="0"/>
        <v>174</v>
      </c>
      <c r="R8" s="44">
        <f t="shared" si="0"/>
        <v>190</v>
      </c>
      <c r="S8" s="44">
        <f t="shared" si="0"/>
        <v>207</v>
      </c>
      <c r="T8" s="44">
        <f t="shared" si="0"/>
        <v>226</v>
      </c>
      <c r="U8" s="44">
        <f t="shared" si="0"/>
        <v>244</v>
      </c>
      <c r="V8" s="44">
        <f t="shared" si="0"/>
        <v>263</v>
      </c>
      <c r="W8" s="44">
        <f t="shared" si="0"/>
        <v>284</v>
      </c>
      <c r="X8" s="44">
        <f t="shared" si="0"/>
        <v>307</v>
      </c>
      <c r="Y8" s="44">
        <f t="shared" si="0"/>
        <v>332</v>
      </c>
      <c r="Z8" s="44">
        <f t="shared" si="0"/>
        <v>358</v>
      </c>
      <c r="AA8" s="44">
        <f t="shared" si="0"/>
        <v>386</v>
      </c>
      <c r="AB8" s="44">
        <f t="shared" si="0"/>
        <v>417</v>
      </c>
      <c r="AC8" s="44">
        <f t="shared" si="0"/>
        <v>451</v>
      </c>
      <c r="AD8" s="44">
        <f t="shared" si="0"/>
        <v>487</v>
      </c>
      <c r="AE8" s="44">
        <f t="shared" si="0"/>
        <v>526</v>
      </c>
      <c r="AF8" s="44">
        <f t="shared" si="0"/>
        <v>568</v>
      </c>
      <c r="AG8" s="44">
        <f t="shared" si="0"/>
        <v>613</v>
      </c>
      <c r="AH8" s="44">
        <f t="shared" si="0"/>
        <v>662</v>
      </c>
      <c r="AI8" s="44">
        <f t="shared" si="0"/>
        <v>715</v>
      </c>
      <c r="AJ8" s="44">
        <f t="shared" si="0"/>
        <v>772</v>
      </c>
      <c r="AK8" s="44">
        <f t="shared" si="0"/>
        <v>834</v>
      </c>
      <c r="AL8" s="44">
        <f t="shared" si="0"/>
        <v>900</v>
      </c>
    </row>
    <row r="9" spans="2:38" x14ac:dyDescent="0.3">
      <c r="B9" t="s">
        <v>88</v>
      </c>
      <c r="C9">
        <f>ROUNDUP(SUM(C4:C5)*0.6,0)</f>
        <v>2</v>
      </c>
      <c r="D9">
        <f t="shared" ref="D9:AL9" si="1">ROUNDUP(SUM(D4:D5)*0.6,0)</f>
        <v>2</v>
      </c>
      <c r="E9">
        <f t="shared" si="1"/>
        <v>3</v>
      </c>
      <c r="F9">
        <f t="shared" si="1"/>
        <v>4</v>
      </c>
      <c r="G9">
        <f t="shared" si="1"/>
        <v>5</v>
      </c>
      <c r="H9">
        <f t="shared" si="1"/>
        <v>6</v>
      </c>
      <c r="I9">
        <f t="shared" si="1"/>
        <v>8</v>
      </c>
      <c r="J9">
        <f t="shared" si="1"/>
        <v>11</v>
      </c>
      <c r="K9">
        <f t="shared" si="1"/>
        <v>14</v>
      </c>
      <c r="L9">
        <f t="shared" si="1"/>
        <v>15</v>
      </c>
      <c r="M9">
        <f t="shared" si="1"/>
        <v>17</v>
      </c>
      <c r="N9">
        <f t="shared" si="1"/>
        <v>18</v>
      </c>
      <c r="O9">
        <f t="shared" si="1"/>
        <v>20</v>
      </c>
      <c r="P9">
        <f t="shared" si="1"/>
        <v>21</v>
      </c>
      <c r="Q9">
        <f t="shared" si="1"/>
        <v>24</v>
      </c>
      <c r="R9">
        <f t="shared" si="1"/>
        <v>26</v>
      </c>
      <c r="S9">
        <f t="shared" si="1"/>
        <v>28</v>
      </c>
      <c r="T9">
        <f t="shared" si="1"/>
        <v>30</v>
      </c>
      <c r="U9">
        <f t="shared" si="1"/>
        <v>46</v>
      </c>
      <c r="V9">
        <f t="shared" si="1"/>
        <v>49</v>
      </c>
      <c r="W9">
        <f t="shared" si="1"/>
        <v>53</v>
      </c>
      <c r="X9">
        <f t="shared" si="1"/>
        <v>57</v>
      </c>
      <c r="Y9">
        <f t="shared" si="1"/>
        <v>62</v>
      </c>
      <c r="Z9">
        <f t="shared" si="1"/>
        <v>68</v>
      </c>
      <c r="AA9">
        <f t="shared" si="1"/>
        <v>72</v>
      </c>
      <c r="AB9">
        <f t="shared" si="1"/>
        <v>78</v>
      </c>
      <c r="AC9">
        <f t="shared" si="1"/>
        <v>84</v>
      </c>
      <c r="AD9">
        <f t="shared" si="1"/>
        <v>91</v>
      </c>
      <c r="AE9">
        <f t="shared" si="1"/>
        <v>99</v>
      </c>
      <c r="AF9">
        <f t="shared" si="1"/>
        <v>106</v>
      </c>
      <c r="AG9">
        <f t="shared" si="1"/>
        <v>114</v>
      </c>
      <c r="AH9">
        <f t="shared" si="1"/>
        <v>124</v>
      </c>
      <c r="AI9">
        <f t="shared" si="1"/>
        <v>134</v>
      </c>
      <c r="AJ9">
        <f t="shared" si="1"/>
        <v>145</v>
      </c>
      <c r="AK9">
        <f t="shared" si="1"/>
        <v>156</v>
      </c>
      <c r="AL9">
        <f t="shared" si="1"/>
        <v>168</v>
      </c>
    </row>
  </sheetData>
  <mergeCells count="3">
    <mergeCell ref="C2:J2"/>
    <mergeCell ref="K2:T2"/>
    <mergeCell ref="U2:AL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1799-7084-4434-BF36-1291BD3D3204}">
  <sheetPr>
    <tabColor theme="4"/>
  </sheetPr>
  <dimension ref="B2:H23"/>
  <sheetViews>
    <sheetView workbookViewId="0">
      <selection activeCell="K9" sqref="K9"/>
    </sheetView>
  </sheetViews>
  <sheetFormatPr defaultRowHeight="14.4" x14ac:dyDescent="0.3"/>
  <cols>
    <col min="2" max="2" width="55.6640625" bestFit="1" customWidth="1"/>
    <col min="3" max="4" width="13.88671875" bestFit="1" customWidth="1"/>
    <col min="5" max="7" width="14.88671875" bestFit="1" customWidth="1"/>
    <col min="8" max="8" width="13.88671875" bestFit="1" customWidth="1"/>
  </cols>
  <sheetData>
    <row r="2" spans="2:8" ht="28.8" x14ac:dyDescent="0.55000000000000004">
      <c r="B2" s="10" t="s">
        <v>100</v>
      </c>
    </row>
    <row r="4" spans="2:8" x14ac:dyDescent="0.3">
      <c r="B4" s="9" t="s">
        <v>0</v>
      </c>
      <c r="C4" s="9" t="s">
        <v>101</v>
      </c>
      <c r="D4" s="9" t="s">
        <v>102</v>
      </c>
      <c r="E4" s="9" t="s">
        <v>103</v>
      </c>
      <c r="F4" s="11" t="s">
        <v>104</v>
      </c>
      <c r="G4" s="11" t="s">
        <v>105</v>
      </c>
      <c r="H4" s="43" t="s">
        <v>228</v>
      </c>
    </row>
    <row r="5" spans="2:8" x14ac:dyDescent="0.3">
      <c r="B5" s="2" t="s">
        <v>113</v>
      </c>
      <c r="C5" s="16">
        <f>SUM('36-month forecast'!N4:N5)</f>
        <v>5155</v>
      </c>
      <c r="D5" s="16">
        <f>SUM('36-month forecast'!AB4:AB5)</f>
        <v>60157</v>
      </c>
      <c r="E5" s="16">
        <f>SUM('36-month forecast'!AL4:AL5)</f>
        <v>243370</v>
      </c>
      <c r="F5" s="29">
        <f>Table8[[#This Row],[Year 3]]*1.25</f>
        <v>304212.5</v>
      </c>
      <c r="G5" s="29">
        <f>Table8[[#This Row],[Year 4]]*1.2</f>
        <v>365055</v>
      </c>
      <c r="H5" s="42"/>
    </row>
    <row r="6" spans="2:8" x14ac:dyDescent="0.3">
      <c r="B6" s="3" t="s">
        <v>114</v>
      </c>
      <c r="C6" s="4">
        <f>'36-month forecast'!C7</f>
        <v>30</v>
      </c>
      <c r="D6" s="4">
        <f>'36-month forecast'!N7</f>
        <v>449</v>
      </c>
      <c r="E6" s="17">
        <f>'36-month forecast'!AL7</f>
        <v>3001</v>
      </c>
      <c r="F6" s="29">
        <f>Table8[[#This Row],[Year 3]]*1.1</f>
        <v>3301.1000000000004</v>
      </c>
      <c r="G6" s="29">
        <f>Table8[[#This Row],[Year 4]]*1.1</f>
        <v>3631.2100000000005</v>
      </c>
      <c r="H6" s="27"/>
    </row>
    <row r="7" spans="2:8" x14ac:dyDescent="0.3">
      <c r="B7" s="2" t="s">
        <v>115</v>
      </c>
      <c r="C7" s="16">
        <f>SUM('36-month forecast'!C8:N8)</f>
        <v>60390</v>
      </c>
      <c r="D7" s="16">
        <f>SUM('36-month forecast'!O8:Z8)</f>
        <v>330230</v>
      </c>
      <c r="E7" s="16">
        <f>SUM('36-month forecast'!AA8:AL8)</f>
        <v>977240</v>
      </c>
      <c r="F7" s="30">
        <f>Table8[[#This Row],[Year 3]]*1.25</f>
        <v>1221550</v>
      </c>
      <c r="G7" s="30">
        <f>Table8[[#This Row],[Year 4]]*1.2</f>
        <v>1465860</v>
      </c>
      <c r="H7" s="27"/>
    </row>
    <row r="8" spans="2:8" x14ac:dyDescent="0.3">
      <c r="B8" s="3" t="s">
        <v>40</v>
      </c>
      <c r="C8" s="19">
        <f>SUM('36-month forecast'!C9:N9)</f>
        <v>1064450</v>
      </c>
      <c r="D8" s="19">
        <f>SUM('36-month forecast'!O9:Z9)</f>
        <v>7227490</v>
      </c>
      <c r="E8" s="19">
        <f>SUM('36-month forecast'!AA9:AL9)</f>
        <v>22476520</v>
      </c>
      <c r="F8" s="13">
        <f>Table8[[#This Row],[Year 3]]*1.4</f>
        <v>31467127.999999996</v>
      </c>
      <c r="G8" s="13">
        <f>Table8[[#This Row],[Year 4]]*1.3</f>
        <v>40907266.399999999</v>
      </c>
      <c r="H8" s="27"/>
    </row>
    <row r="9" spans="2:8" x14ac:dyDescent="0.3">
      <c r="B9" s="2" t="s">
        <v>39</v>
      </c>
      <c r="C9" s="20">
        <f>SUM('36-month forecast'!C10:N10)</f>
        <v>212890</v>
      </c>
      <c r="D9" s="20">
        <f>SUM('36-month forecast'!O10:Z10)</f>
        <v>1445498</v>
      </c>
      <c r="E9" s="20">
        <f>SUM('36-month forecast'!AA10:AL10)</f>
        <v>4495304</v>
      </c>
      <c r="F9" s="31">
        <f>Table8[[#This Row],[Year 3]]*1.4</f>
        <v>6293425.5999999996</v>
      </c>
      <c r="G9" s="31">
        <f>Table8[[#This Row],[Year 4]]*1.3</f>
        <v>8181453.2799999993</v>
      </c>
      <c r="H9" s="27"/>
    </row>
    <row r="10" spans="2:8" x14ac:dyDescent="0.3">
      <c r="B10" s="3" t="s">
        <v>38</v>
      </c>
      <c r="C10" s="21">
        <f>SUM('36-month forecast'!C11:N11)</f>
        <v>100497.5</v>
      </c>
      <c r="D10" s="21">
        <f>SUM('36-month forecast'!O11:Z11)</f>
        <v>697042.5</v>
      </c>
      <c r="E10" s="21">
        <f>SUM('36-month forecast'!AA11:AL11)</f>
        <v>2198790</v>
      </c>
      <c r="F10" s="31">
        <f>Table8[[#This Row],[Year 3]]*1.4</f>
        <v>3078306</v>
      </c>
      <c r="G10" s="31">
        <f>Table8[[#This Row],[Year 4]]*1.3</f>
        <v>4001797.8000000003</v>
      </c>
      <c r="H10" s="27"/>
    </row>
    <row r="11" spans="2:8" x14ac:dyDescent="0.3">
      <c r="B11" s="2" t="s">
        <v>37</v>
      </c>
      <c r="C11" s="20">
        <f>SUM('36-month forecast'!C12:N12)</f>
        <v>2189.9</v>
      </c>
      <c r="D11" s="20">
        <f>SUM('36-month forecast'!O12:Z12)</f>
        <v>28425.5</v>
      </c>
      <c r="E11" s="20">
        <f>SUM('36-month forecast'!AA12:AL12)</f>
        <v>97724</v>
      </c>
      <c r="F11" s="31">
        <f>Table8[[#This Row],[Year 3]]*1.4</f>
        <v>136813.6</v>
      </c>
      <c r="G11" s="31">
        <f>Table8[[#This Row],[Year 4]]*1.3</f>
        <v>177857.68000000002</v>
      </c>
      <c r="H11" s="27"/>
    </row>
    <row r="12" spans="2:8" x14ac:dyDescent="0.3">
      <c r="B12" s="22" t="s">
        <v>36</v>
      </c>
      <c r="C12" s="19">
        <f>SUM(C9:C11)</f>
        <v>315577.40000000002</v>
      </c>
      <c r="D12" s="19">
        <f t="shared" ref="D12:G12" si="0">SUM(D9:D11)</f>
        <v>2170966</v>
      </c>
      <c r="E12" s="19">
        <f t="shared" si="0"/>
        <v>6791818</v>
      </c>
      <c r="F12" s="19">
        <f t="shared" si="0"/>
        <v>9508545.1999999993</v>
      </c>
      <c r="G12" s="19">
        <f t="shared" si="0"/>
        <v>12361108.76</v>
      </c>
      <c r="H12" s="27"/>
    </row>
    <row r="13" spans="2:8" x14ac:dyDescent="0.3">
      <c r="B13" s="2" t="s">
        <v>35</v>
      </c>
      <c r="C13" s="20">
        <f>SUM('36-month forecast'!C14:N14)</f>
        <v>292037.5</v>
      </c>
      <c r="D13" s="20">
        <f>SUM('36-month forecast'!O14:Z14)</f>
        <v>1449452.5</v>
      </c>
      <c r="E13" s="20">
        <f>SUM('36-month forecast'!AA14:AL14)</f>
        <v>4153270</v>
      </c>
      <c r="F13" s="31">
        <f>Table8[[#This Row],[Year 3]]*1.3</f>
        <v>5399251</v>
      </c>
      <c r="G13" s="31">
        <f>Table8[[#This Row],[Year 4]]*1.2</f>
        <v>6479101.2000000002</v>
      </c>
      <c r="H13" s="27"/>
    </row>
    <row r="14" spans="2:8" x14ac:dyDescent="0.3">
      <c r="B14" s="3" t="s">
        <v>34</v>
      </c>
      <c r="C14" s="19">
        <f>SUM('36-month forecast'!C15:N15)</f>
        <v>30000</v>
      </c>
      <c r="D14" s="19">
        <f>SUM('36-month forecast'!O15:Z15)</f>
        <v>45000</v>
      </c>
      <c r="E14" s="19">
        <f>SUM('36-month forecast'!AA15:AL15)</f>
        <v>48000</v>
      </c>
      <c r="F14" s="31">
        <f>Table8[[#This Row],[Year 3]]*1.3</f>
        <v>62400</v>
      </c>
      <c r="G14" s="31">
        <f>Table8[[#This Row],[Year 4]]*1.2</f>
        <v>74880</v>
      </c>
      <c r="H14" s="27"/>
    </row>
    <row r="15" spans="2:8" x14ac:dyDescent="0.3">
      <c r="B15" s="2" t="s">
        <v>33</v>
      </c>
      <c r="C15" s="20">
        <f>SUM('36-month forecast'!C16:N16)</f>
        <v>56000</v>
      </c>
      <c r="D15" s="20">
        <f>SUM('36-month forecast'!O16:Z16)</f>
        <v>45000</v>
      </c>
      <c r="E15" s="20">
        <f>SUM('36-month forecast'!AA16:AL16)</f>
        <v>42000</v>
      </c>
      <c r="F15" s="13">
        <f>Table8[[#This Row],[Year 3]]*1.3</f>
        <v>54600</v>
      </c>
      <c r="G15" s="13">
        <f>Table8[[#This Row],[Year 4]]*1.2</f>
        <v>65520</v>
      </c>
      <c r="H15" s="27"/>
    </row>
    <row r="16" spans="2:8" x14ac:dyDescent="0.3">
      <c r="B16" s="3" t="s">
        <v>32</v>
      </c>
      <c r="C16" s="19">
        <f>SUM('36-month forecast'!C17:N17)</f>
        <v>334000</v>
      </c>
      <c r="D16" s="19">
        <f>SUM('36-month forecast'!O17:Z17)</f>
        <v>784500</v>
      </c>
      <c r="E16" s="19">
        <f>SUM('36-month forecast'!AA17:AL17)</f>
        <v>1107000</v>
      </c>
      <c r="F16" s="31">
        <f>Table8[[#This Row],[Year 3]]*1.3</f>
        <v>1439100</v>
      </c>
      <c r="G16" s="31">
        <f>Table8[[#This Row],[Year 4]]*1.2</f>
        <v>1726920</v>
      </c>
      <c r="H16" s="27"/>
    </row>
    <row r="17" spans="2:8" x14ac:dyDescent="0.3">
      <c r="B17" s="23" t="s">
        <v>31</v>
      </c>
      <c r="C17" s="20">
        <f>SUM(C13:C16)</f>
        <v>712037.5</v>
      </c>
      <c r="D17" s="20">
        <f t="shared" ref="D17:G17" si="1">SUM(D13:D16)</f>
        <v>2323952.5</v>
      </c>
      <c r="E17" s="20">
        <f t="shared" si="1"/>
        <v>5350270</v>
      </c>
      <c r="F17" s="20">
        <f t="shared" si="1"/>
        <v>6955351</v>
      </c>
      <c r="G17" s="20">
        <f t="shared" si="1"/>
        <v>8346421.2000000002</v>
      </c>
      <c r="H17" s="27"/>
    </row>
    <row r="18" spans="2:8" x14ac:dyDescent="0.3">
      <c r="B18" s="3" t="s">
        <v>30</v>
      </c>
      <c r="C18" s="13">
        <f>C12-C17</f>
        <v>-396460.1</v>
      </c>
      <c r="D18" s="13">
        <f>D12-D17</f>
        <v>-152986.5</v>
      </c>
      <c r="E18" s="13">
        <f>E12-E17</f>
        <v>1441548</v>
      </c>
      <c r="F18" s="13">
        <f t="shared" ref="F18:G18" si="2">F12-F17</f>
        <v>2553194.1999999993</v>
      </c>
      <c r="G18" s="13">
        <f t="shared" si="2"/>
        <v>4014687.5599999996</v>
      </c>
      <c r="H18" s="27"/>
    </row>
    <row r="19" spans="2:8" x14ac:dyDescent="0.3">
      <c r="B19" s="2" t="s">
        <v>29</v>
      </c>
      <c r="C19" s="18">
        <f>IF(C18&gt;0,C18*0.15,0)</f>
        <v>0</v>
      </c>
      <c r="D19" s="18">
        <f t="shared" ref="D19:G19" si="3">IF(D18&gt;0,D18*0.15,0)</f>
        <v>0</v>
      </c>
      <c r="E19" s="18">
        <f t="shared" si="3"/>
        <v>216232.19999999998</v>
      </c>
      <c r="F19" s="18">
        <f t="shared" si="3"/>
        <v>382979.12999999989</v>
      </c>
      <c r="G19" s="18">
        <f t="shared" si="3"/>
        <v>602203.13399999996</v>
      </c>
      <c r="H19" s="27"/>
    </row>
    <row r="20" spans="2:8" x14ac:dyDescent="0.3">
      <c r="B20" s="5" t="s">
        <v>28</v>
      </c>
      <c r="C20" s="13">
        <f>C18-C19</f>
        <v>-396460.1</v>
      </c>
      <c r="D20" s="13">
        <f t="shared" ref="D20:H20" si="4">D18-D19</f>
        <v>-152986.5</v>
      </c>
      <c r="E20" s="13">
        <f t="shared" si="4"/>
        <v>1225315.8</v>
      </c>
      <c r="F20" s="13">
        <f t="shared" si="4"/>
        <v>2170215.0699999994</v>
      </c>
      <c r="G20" s="13">
        <f t="shared" si="4"/>
        <v>3412484.4259999995</v>
      </c>
      <c r="H20" s="13">
        <f>SUM(Table8[[#This Row],[Year 1]:[Year 5]])</f>
        <v>6258568.6959999986</v>
      </c>
    </row>
    <row r="23" spans="2:8" x14ac:dyDescent="0.3">
      <c r="E23" s="13"/>
      <c r="F23" s="13"/>
      <c r="G23" s="13"/>
    </row>
  </sheetData>
  <phoneticPr fontId="6" type="noConversion"/>
  <conditionalFormatting sqref="C18:G18">
    <cfRule type="cellIs" dxfId="3" priority="4" operator="greaterThan">
      <formula>0</formula>
    </cfRule>
    <cfRule type="cellIs" dxfId="2" priority="5" operator="lessThan">
      <formula>0</formula>
    </cfRule>
    <cfRule type="colorScale" priority="6">
      <colorScale>
        <cfvo type="min"/>
        <cfvo type="percentile" val="0"/>
        <cfvo type="max"/>
        <color rgb="FF63BE7B"/>
        <color rgb="FFFCFCFF"/>
        <color rgb="FFF8696B"/>
      </colorScale>
    </cfRule>
  </conditionalFormatting>
  <conditionalFormatting sqref="C20:H20">
    <cfRule type="cellIs" dxfId="1" priority="1" operator="greaterThan">
      <formula>0</formula>
    </cfRule>
    <cfRule type="cellIs" dxfId="0" priority="2" operator="lessThan">
      <formula>0</formula>
    </cfRule>
    <cfRule type="colorScale" priority="3">
      <colorScale>
        <cfvo type="min"/>
        <cfvo type="percentile" val="0"/>
        <cfvo type="max"/>
        <color rgb="FF63BE7B"/>
        <color rgb="FFFCFCFF"/>
        <color rgb="FFF8696B"/>
      </colorScale>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855D-233D-4AE8-9E8D-BB2B71CF50D2}">
  <sheetPr>
    <tabColor rgb="FFFF0000"/>
  </sheetPr>
  <dimension ref="B5:E570"/>
  <sheetViews>
    <sheetView topLeftCell="A447" workbookViewId="0">
      <selection activeCell="J461" sqref="J461"/>
    </sheetView>
  </sheetViews>
  <sheetFormatPr defaultRowHeight="14.4" x14ac:dyDescent="0.3"/>
  <cols>
    <col min="2" max="2" width="14.77734375" customWidth="1"/>
    <col min="3" max="3" width="24.77734375" customWidth="1"/>
    <col min="4" max="4" width="38.109375" customWidth="1"/>
  </cols>
  <sheetData>
    <row r="5" spans="2:2" ht="23.4" x14ac:dyDescent="0.3">
      <c r="B5" s="32" t="s">
        <v>120</v>
      </c>
    </row>
    <row r="7" spans="2:2" ht="18" x14ac:dyDescent="0.3">
      <c r="B7" s="33" t="s">
        <v>121</v>
      </c>
    </row>
    <row r="8" spans="2:2" x14ac:dyDescent="0.3">
      <c r="B8" s="34"/>
    </row>
    <row r="9" spans="2:2" x14ac:dyDescent="0.3">
      <c r="B9" s="35" t="s">
        <v>122</v>
      </c>
    </row>
    <row r="10" spans="2:2" x14ac:dyDescent="0.3">
      <c r="B10" s="34" t="s">
        <v>123</v>
      </c>
    </row>
    <row r="11" spans="2:2" x14ac:dyDescent="0.3">
      <c r="B11" s="34"/>
    </row>
    <row r="12" spans="2:2" x14ac:dyDescent="0.3">
      <c r="B12" s="35" t="s">
        <v>124</v>
      </c>
    </row>
    <row r="13" spans="2:2" x14ac:dyDescent="0.3">
      <c r="B13" s="34" t="s">
        <v>125</v>
      </c>
    </row>
    <row r="14" spans="2:2" x14ac:dyDescent="0.3">
      <c r="B14" s="34"/>
    </row>
    <row r="15" spans="2:2" x14ac:dyDescent="0.3">
      <c r="B15" s="34" t="s">
        <v>126</v>
      </c>
    </row>
    <row r="19" spans="2:2" ht="18" x14ac:dyDescent="0.3">
      <c r="B19" s="33" t="s">
        <v>127</v>
      </c>
    </row>
    <row r="20" spans="2:2" x14ac:dyDescent="0.3">
      <c r="B20" s="34"/>
    </row>
    <row r="21" spans="2:2" x14ac:dyDescent="0.3">
      <c r="B21" s="35" t="s">
        <v>128</v>
      </c>
    </row>
    <row r="22" spans="2:2" x14ac:dyDescent="0.3">
      <c r="B22" s="34" t="s">
        <v>129</v>
      </c>
    </row>
    <row r="23" spans="2:2" x14ac:dyDescent="0.3">
      <c r="B23" s="34"/>
    </row>
    <row r="24" spans="2:2" x14ac:dyDescent="0.3">
      <c r="B24" s="35" t="s">
        <v>130</v>
      </c>
    </row>
    <row r="25" spans="2:2" x14ac:dyDescent="0.3">
      <c r="B25" s="34" t="s">
        <v>131</v>
      </c>
    </row>
    <row r="26" spans="2:2" x14ac:dyDescent="0.3">
      <c r="B26" s="34"/>
    </row>
    <row r="27" spans="2:2" x14ac:dyDescent="0.3">
      <c r="B27" s="34" t="s">
        <v>132</v>
      </c>
    </row>
    <row r="31" spans="2:2" ht="18" x14ac:dyDescent="0.3">
      <c r="B31" s="33" t="s">
        <v>133</v>
      </c>
    </row>
    <row r="32" spans="2:2" x14ac:dyDescent="0.3">
      <c r="B32" s="34"/>
    </row>
    <row r="33" spans="2:2" x14ac:dyDescent="0.3">
      <c r="B33" s="35" t="s">
        <v>134</v>
      </c>
    </row>
    <row r="34" spans="2:2" x14ac:dyDescent="0.3">
      <c r="B34" s="34" t="s">
        <v>135</v>
      </c>
    </row>
    <row r="35" spans="2:2" x14ac:dyDescent="0.3">
      <c r="B35" s="34"/>
    </row>
    <row r="36" spans="2:2" x14ac:dyDescent="0.3">
      <c r="B36" s="35" t="s">
        <v>130</v>
      </c>
    </row>
    <row r="37" spans="2:2" x14ac:dyDescent="0.3">
      <c r="B37" s="34" t="s">
        <v>136</v>
      </c>
    </row>
    <row r="38" spans="2:2" x14ac:dyDescent="0.3">
      <c r="B38" s="34"/>
    </row>
    <row r="39" spans="2:2" x14ac:dyDescent="0.3">
      <c r="B39" s="34" t="s">
        <v>137</v>
      </c>
    </row>
    <row r="43" spans="2:2" ht="18" x14ac:dyDescent="0.3">
      <c r="B43" s="33" t="s">
        <v>138</v>
      </c>
    </row>
    <row r="44" spans="2:2" x14ac:dyDescent="0.3">
      <c r="B44" s="34"/>
    </row>
    <row r="45" spans="2:2" x14ac:dyDescent="0.3">
      <c r="B45" s="35" t="s">
        <v>139</v>
      </c>
    </row>
    <row r="46" spans="2:2" x14ac:dyDescent="0.3">
      <c r="B46" s="34" t="s">
        <v>140</v>
      </c>
    </row>
    <row r="47" spans="2:2" x14ac:dyDescent="0.3">
      <c r="B47" s="34"/>
    </row>
    <row r="48" spans="2:2" x14ac:dyDescent="0.3">
      <c r="B48" s="34" t="s">
        <v>141</v>
      </c>
    </row>
    <row r="59" spans="2:2" ht="23.4" x14ac:dyDescent="0.3">
      <c r="B59" s="32" t="s">
        <v>142</v>
      </c>
    </row>
    <row r="61" spans="2:2" x14ac:dyDescent="0.3">
      <c r="B61" t="s">
        <v>143</v>
      </c>
    </row>
    <row r="62" spans="2:2" x14ac:dyDescent="0.3">
      <c r="B62" s="34"/>
    </row>
    <row r="63" spans="2:2" x14ac:dyDescent="0.3">
      <c r="B63" s="34" t="s">
        <v>144</v>
      </c>
    </row>
    <row r="64" spans="2:2" x14ac:dyDescent="0.3">
      <c r="B64" s="34"/>
    </row>
    <row r="65" spans="2:4" x14ac:dyDescent="0.3">
      <c r="B65" s="34" t="s">
        <v>145</v>
      </c>
    </row>
    <row r="66" spans="2:4" x14ac:dyDescent="0.3">
      <c r="B66" s="34"/>
    </row>
    <row r="67" spans="2:4" x14ac:dyDescent="0.3">
      <c r="B67" s="34" t="s">
        <v>146</v>
      </c>
    </row>
    <row r="68" spans="2:4" x14ac:dyDescent="0.3">
      <c r="B68" s="34"/>
    </row>
    <row r="69" spans="2:4" x14ac:dyDescent="0.3">
      <c r="B69" s="34" t="s">
        <v>147</v>
      </c>
    </row>
    <row r="70" spans="2:4" x14ac:dyDescent="0.3">
      <c r="B70" s="34"/>
    </row>
    <row r="71" spans="2:4" x14ac:dyDescent="0.3">
      <c r="B71" s="34" t="s">
        <v>148</v>
      </c>
    </row>
    <row r="72" spans="2:4" x14ac:dyDescent="0.3">
      <c r="B72" s="34"/>
    </row>
    <row r="73" spans="2:4" x14ac:dyDescent="0.3">
      <c r="B73" s="34" t="s">
        <v>149</v>
      </c>
    </row>
    <row r="77" spans="2:4" ht="23.4" x14ac:dyDescent="0.3">
      <c r="B77" s="32" t="s">
        <v>150</v>
      </c>
    </row>
    <row r="79" spans="2:4" ht="57.6" x14ac:dyDescent="0.3">
      <c r="B79" s="36" t="s">
        <v>151</v>
      </c>
      <c r="C79" s="36" t="s">
        <v>152</v>
      </c>
      <c r="D79" s="36" t="s">
        <v>153</v>
      </c>
    </row>
    <row r="80" spans="2:4" ht="100.8" x14ac:dyDescent="0.3">
      <c r="B80" s="37" t="s">
        <v>154</v>
      </c>
      <c r="C80" s="38" t="s">
        <v>155</v>
      </c>
      <c r="D80" s="37" t="s">
        <v>156</v>
      </c>
    </row>
    <row r="81" spans="2:4" ht="100.8" x14ac:dyDescent="0.3">
      <c r="B81" s="37" t="s">
        <v>157</v>
      </c>
      <c r="C81" s="38" t="s">
        <v>158</v>
      </c>
      <c r="D81" s="37" t="s">
        <v>159</v>
      </c>
    </row>
    <row r="82" spans="2:4" ht="187.2" x14ac:dyDescent="0.3">
      <c r="B82" s="37" t="s">
        <v>160</v>
      </c>
      <c r="C82" s="38" t="s">
        <v>161</v>
      </c>
      <c r="D82" s="37" t="s">
        <v>162</v>
      </c>
    </row>
    <row r="83" spans="2:4" x14ac:dyDescent="0.3">
      <c r="B83" s="34"/>
    </row>
    <row r="84" spans="2:4" x14ac:dyDescent="0.3">
      <c r="B84" s="35" t="s">
        <v>163</v>
      </c>
    </row>
    <row r="88" spans="2:4" ht="23.4" x14ac:dyDescent="0.3">
      <c r="B88" s="32" t="s">
        <v>164</v>
      </c>
    </row>
    <row r="90" spans="2:4" x14ac:dyDescent="0.3">
      <c r="B90" t="s">
        <v>165</v>
      </c>
    </row>
    <row r="91" spans="2:4" x14ac:dyDescent="0.3">
      <c r="B91" s="34"/>
    </row>
    <row r="92" spans="2:4" x14ac:dyDescent="0.3">
      <c r="B92" s="34" t="s">
        <v>166</v>
      </c>
    </row>
    <row r="93" spans="2:4" x14ac:dyDescent="0.3">
      <c r="B93" s="34"/>
    </row>
    <row r="94" spans="2:4" x14ac:dyDescent="0.3">
      <c r="B94" s="34" t="s">
        <v>167</v>
      </c>
    </row>
    <row r="95" spans="2:4" x14ac:dyDescent="0.3">
      <c r="B95" s="34"/>
    </row>
    <row r="96" spans="2:4" x14ac:dyDescent="0.3">
      <c r="B96" s="34" t="s">
        <v>168</v>
      </c>
    </row>
    <row r="98" spans="2:2" x14ac:dyDescent="0.3">
      <c r="B98" t="s">
        <v>169</v>
      </c>
    </row>
    <row r="99" spans="2:2" x14ac:dyDescent="0.3">
      <c r="B99" s="34"/>
    </row>
    <row r="100" spans="2:2" x14ac:dyDescent="0.3">
      <c r="B100" s="34" t="s">
        <v>170</v>
      </c>
    </row>
    <row r="101" spans="2:2" x14ac:dyDescent="0.3">
      <c r="B101" s="34"/>
    </row>
    <row r="102" spans="2:2" x14ac:dyDescent="0.3">
      <c r="B102" s="34" t="s">
        <v>171</v>
      </c>
    </row>
    <row r="104" spans="2:2" x14ac:dyDescent="0.3">
      <c r="B104" t="s">
        <v>172</v>
      </c>
    </row>
    <row r="105" spans="2:2" x14ac:dyDescent="0.3">
      <c r="B105" t="s">
        <v>173</v>
      </c>
    </row>
    <row r="109" spans="2:2" ht="23.4" x14ac:dyDescent="0.3">
      <c r="B109" s="32" t="s">
        <v>174</v>
      </c>
    </row>
    <row r="111" spans="2:2" ht="18" x14ac:dyDescent="0.3">
      <c r="B111" s="33" t="s">
        <v>175</v>
      </c>
    </row>
    <row r="112" spans="2:2" x14ac:dyDescent="0.3">
      <c r="B112" s="34"/>
    </row>
    <row r="113" spans="2:2" x14ac:dyDescent="0.3">
      <c r="B113" s="34" t="s">
        <v>176</v>
      </c>
    </row>
    <row r="114" spans="2:2" x14ac:dyDescent="0.3">
      <c r="B114" s="34"/>
    </row>
    <row r="115" spans="2:2" x14ac:dyDescent="0.3">
      <c r="B115" s="34" t="s">
        <v>177</v>
      </c>
    </row>
    <row r="117" spans="2:2" ht="18" x14ac:dyDescent="0.3">
      <c r="B117" s="33" t="s">
        <v>178</v>
      </c>
    </row>
    <row r="118" spans="2:2" x14ac:dyDescent="0.3">
      <c r="B118" s="34"/>
    </row>
    <row r="119" spans="2:2" x14ac:dyDescent="0.3">
      <c r="B119" s="34" t="s">
        <v>179</v>
      </c>
    </row>
    <row r="120" spans="2:2" x14ac:dyDescent="0.3">
      <c r="B120" s="34"/>
    </row>
    <row r="121" spans="2:2" x14ac:dyDescent="0.3">
      <c r="B121" s="34" t="s">
        <v>180</v>
      </c>
    </row>
    <row r="122" spans="2:2" x14ac:dyDescent="0.3">
      <c r="B122" s="34"/>
    </row>
    <row r="123" spans="2:2" x14ac:dyDescent="0.3">
      <c r="B123" s="34" t="s">
        <v>181</v>
      </c>
    </row>
    <row r="125" spans="2:2" ht="18" x14ac:dyDescent="0.3">
      <c r="B125" s="33" t="s">
        <v>182</v>
      </c>
    </row>
    <row r="126" spans="2:2" x14ac:dyDescent="0.3">
      <c r="B126" s="34"/>
    </row>
    <row r="127" spans="2:2" x14ac:dyDescent="0.3">
      <c r="B127" s="34" t="s">
        <v>183</v>
      </c>
    </row>
    <row r="128" spans="2:2" x14ac:dyDescent="0.3">
      <c r="B128" s="34"/>
    </row>
    <row r="129" spans="2:4" x14ac:dyDescent="0.3">
      <c r="B129" s="34" t="s">
        <v>184</v>
      </c>
    </row>
    <row r="130" spans="2:4" x14ac:dyDescent="0.3">
      <c r="B130" s="34"/>
    </row>
    <row r="131" spans="2:4" x14ac:dyDescent="0.3">
      <c r="B131" s="34" t="s">
        <v>185</v>
      </c>
    </row>
    <row r="133" spans="2:4" x14ac:dyDescent="0.3">
      <c r="B133" t="s">
        <v>186</v>
      </c>
    </row>
    <row r="137" spans="2:4" ht="23.4" x14ac:dyDescent="0.3">
      <c r="B137" s="32" t="s">
        <v>187</v>
      </c>
    </row>
    <row r="139" spans="2:4" ht="57.6" x14ac:dyDescent="0.3">
      <c r="B139" s="36" t="s">
        <v>188</v>
      </c>
      <c r="C139" s="36" t="s">
        <v>189</v>
      </c>
      <c r="D139" s="36" t="s">
        <v>1</v>
      </c>
    </row>
    <row r="140" spans="2:4" ht="57.6" x14ac:dyDescent="0.3">
      <c r="B140" s="37" t="s">
        <v>101</v>
      </c>
      <c r="C140" s="40">
        <v>0.01</v>
      </c>
      <c r="D140" s="37" t="s">
        <v>190</v>
      </c>
    </row>
    <row r="141" spans="2:4" ht="57.6" x14ac:dyDescent="0.3">
      <c r="B141" s="37" t="s">
        <v>102</v>
      </c>
      <c r="C141" s="40">
        <v>0.05</v>
      </c>
      <c r="D141" s="37" t="s">
        <v>191</v>
      </c>
    </row>
    <row r="142" spans="2:4" ht="43.2" x14ac:dyDescent="0.3">
      <c r="B142" s="37" t="s">
        <v>103</v>
      </c>
      <c r="C142" s="40">
        <v>0.1</v>
      </c>
      <c r="D142" s="37" t="s">
        <v>192</v>
      </c>
    </row>
    <row r="143" spans="2:4" ht="86.4" x14ac:dyDescent="0.3">
      <c r="B143" s="37" t="s">
        <v>104</v>
      </c>
      <c r="C143" s="40">
        <v>0.2</v>
      </c>
      <c r="D143" s="37" t="s">
        <v>193</v>
      </c>
    </row>
    <row r="144" spans="2:4" ht="57.6" x14ac:dyDescent="0.3">
      <c r="B144" s="37" t="s">
        <v>105</v>
      </c>
      <c r="C144" s="40">
        <v>0.3</v>
      </c>
      <c r="D144" s="37" t="s">
        <v>194</v>
      </c>
    </row>
    <row r="147" spans="2:4" x14ac:dyDescent="0.3">
      <c r="B147" t="s">
        <v>195</v>
      </c>
    </row>
    <row r="154" spans="2:4" ht="23.4" x14ac:dyDescent="0.3">
      <c r="B154" s="32" t="s">
        <v>196</v>
      </c>
    </row>
    <row r="156" spans="2:4" x14ac:dyDescent="0.3">
      <c r="B156" s="36" t="s">
        <v>197</v>
      </c>
      <c r="C156" s="36" t="s">
        <v>198</v>
      </c>
      <c r="D156" s="36" t="s">
        <v>1</v>
      </c>
    </row>
    <row r="157" spans="2:4" ht="86.4" x14ac:dyDescent="0.3">
      <c r="B157" s="38" t="s">
        <v>199</v>
      </c>
      <c r="C157" s="41">
        <v>5</v>
      </c>
      <c r="D157" s="37" t="s">
        <v>200</v>
      </c>
    </row>
    <row r="158" spans="2:4" ht="72" x14ac:dyDescent="0.3">
      <c r="B158" s="38" t="s">
        <v>201</v>
      </c>
      <c r="C158" s="41">
        <v>3.5</v>
      </c>
      <c r="D158" s="37" t="s">
        <v>202</v>
      </c>
    </row>
    <row r="159" spans="2:4" ht="100.8" x14ac:dyDescent="0.3">
      <c r="B159" s="38" t="s">
        <v>203</v>
      </c>
      <c r="C159" s="41">
        <v>4</v>
      </c>
      <c r="D159" s="37" t="s">
        <v>204</v>
      </c>
    </row>
    <row r="162" spans="2:2" ht="23.4" x14ac:dyDescent="0.3">
      <c r="B162" s="32" t="s">
        <v>205</v>
      </c>
    </row>
    <row r="164" spans="2:2" ht="18" x14ac:dyDescent="0.3">
      <c r="B164" s="33" t="s">
        <v>206</v>
      </c>
    </row>
    <row r="165" spans="2:2" x14ac:dyDescent="0.3">
      <c r="B165" s="34"/>
    </row>
    <row r="166" spans="2:2" x14ac:dyDescent="0.3">
      <c r="B166" s="34" t="s">
        <v>207</v>
      </c>
    </row>
    <row r="167" spans="2:2" x14ac:dyDescent="0.3">
      <c r="B167" s="34"/>
    </row>
    <row r="168" spans="2:2" x14ac:dyDescent="0.3">
      <c r="B168" s="34" t="s">
        <v>208</v>
      </c>
    </row>
    <row r="169" spans="2:2" x14ac:dyDescent="0.3">
      <c r="B169" s="34"/>
    </row>
    <row r="170" spans="2:2" x14ac:dyDescent="0.3">
      <c r="B170" s="34" t="s">
        <v>209</v>
      </c>
    </row>
    <row r="171" spans="2:2" x14ac:dyDescent="0.3">
      <c r="B171" s="34"/>
    </row>
    <row r="172" spans="2:2" x14ac:dyDescent="0.3">
      <c r="B172" s="35" t="s">
        <v>210</v>
      </c>
    </row>
    <row r="173" spans="2:2" x14ac:dyDescent="0.3">
      <c r="B173" s="34"/>
    </row>
    <row r="174" spans="2:2" x14ac:dyDescent="0.3">
      <c r="B174" s="34" t="s">
        <v>211</v>
      </c>
    </row>
    <row r="178" spans="2:2" ht="18" x14ac:dyDescent="0.3">
      <c r="B178" s="33" t="s">
        <v>212</v>
      </c>
    </row>
    <row r="179" spans="2:2" x14ac:dyDescent="0.3">
      <c r="B179" s="34"/>
    </row>
    <row r="180" spans="2:2" x14ac:dyDescent="0.3">
      <c r="B180" s="34" t="s">
        <v>213</v>
      </c>
    </row>
    <row r="181" spans="2:2" x14ac:dyDescent="0.3">
      <c r="B181" s="34"/>
    </row>
    <row r="182" spans="2:2" x14ac:dyDescent="0.3">
      <c r="B182" s="34" t="s">
        <v>214</v>
      </c>
    </row>
    <row r="183" spans="2:2" x14ac:dyDescent="0.3">
      <c r="B183" s="34"/>
    </row>
    <row r="184" spans="2:2" x14ac:dyDescent="0.3">
      <c r="B184" s="34" t="s">
        <v>215</v>
      </c>
    </row>
    <row r="185" spans="2:2" x14ac:dyDescent="0.3">
      <c r="B185" s="34"/>
    </row>
    <row r="186" spans="2:2" x14ac:dyDescent="0.3">
      <c r="B186" s="34" t="s">
        <v>216</v>
      </c>
    </row>
    <row r="187" spans="2:2" x14ac:dyDescent="0.3">
      <c r="B187" s="34"/>
    </row>
    <row r="188" spans="2:2" x14ac:dyDescent="0.3">
      <c r="B188" s="34" t="s">
        <v>217</v>
      </c>
    </row>
    <row r="192" spans="2:2" ht="18" x14ac:dyDescent="0.3">
      <c r="B192" s="33" t="s">
        <v>218</v>
      </c>
    </row>
    <row r="193" spans="2:2" x14ac:dyDescent="0.3">
      <c r="B193" s="34"/>
    </row>
    <row r="194" spans="2:2" x14ac:dyDescent="0.3">
      <c r="B194" s="34" t="s">
        <v>219</v>
      </c>
    </row>
    <row r="195" spans="2:2" x14ac:dyDescent="0.3">
      <c r="B195" s="34"/>
    </row>
    <row r="196" spans="2:2" x14ac:dyDescent="0.3">
      <c r="B196" s="34" t="s">
        <v>220</v>
      </c>
    </row>
    <row r="197" spans="2:2" x14ac:dyDescent="0.3">
      <c r="B197" s="34"/>
    </row>
    <row r="198" spans="2:2" x14ac:dyDescent="0.3">
      <c r="B198" s="34" t="s">
        <v>221</v>
      </c>
    </row>
    <row r="202" spans="2:2" ht="23.4" x14ac:dyDescent="0.3">
      <c r="B202" s="32" t="s">
        <v>222</v>
      </c>
    </row>
    <row r="204" spans="2:2" x14ac:dyDescent="0.3">
      <c r="B204" t="s">
        <v>223</v>
      </c>
    </row>
    <row r="212" spans="2:2" x14ac:dyDescent="0.3">
      <c r="B212" t="s">
        <v>224</v>
      </c>
    </row>
    <row r="216" spans="2:2" ht="23.4" x14ac:dyDescent="0.3">
      <c r="B216" s="32" t="s">
        <v>225</v>
      </c>
    </row>
    <row r="217" spans="2:2" x14ac:dyDescent="0.3">
      <c r="B217" s="34"/>
    </row>
    <row r="218" spans="2:2" x14ac:dyDescent="0.3">
      <c r="B218" s="34" t="s">
        <v>226</v>
      </c>
    </row>
    <row r="222" spans="2:2" x14ac:dyDescent="0.3">
      <c r="B222" t="s">
        <v>227</v>
      </c>
    </row>
    <row r="228" spans="2:3" ht="23.4" x14ac:dyDescent="0.3">
      <c r="B228" s="32" t="s">
        <v>229</v>
      </c>
    </row>
    <row r="230" spans="2:3" ht="18" x14ac:dyDescent="0.3">
      <c r="B230" s="33" t="s">
        <v>230</v>
      </c>
    </row>
    <row r="232" spans="2:3" x14ac:dyDescent="0.3">
      <c r="B232" t="s">
        <v>231</v>
      </c>
    </row>
    <row r="234" spans="2:3" ht="28.8" x14ac:dyDescent="0.3">
      <c r="B234" s="36" t="s">
        <v>232</v>
      </c>
      <c r="C234" s="36" t="s">
        <v>233</v>
      </c>
    </row>
    <row r="235" spans="2:3" ht="28.8" x14ac:dyDescent="0.3">
      <c r="B235" s="37" t="s">
        <v>234</v>
      </c>
      <c r="C235" s="37" t="s">
        <v>235</v>
      </c>
    </row>
    <row r="236" spans="2:3" ht="28.8" x14ac:dyDescent="0.3">
      <c r="B236" s="37" t="s">
        <v>236</v>
      </c>
      <c r="C236" s="37" t="s">
        <v>237</v>
      </c>
    </row>
    <row r="237" spans="2:3" ht="28.8" x14ac:dyDescent="0.3">
      <c r="B237" s="37" t="s">
        <v>238</v>
      </c>
      <c r="C237" s="37" t="s">
        <v>161</v>
      </c>
    </row>
    <row r="238" spans="2:3" ht="28.8" x14ac:dyDescent="0.3">
      <c r="B238" s="37" t="s">
        <v>239</v>
      </c>
      <c r="C238" s="40">
        <v>0.5</v>
      </c>
    </row>
    <row r="239" spans="2:3" x14ac:dyDescent="0.3">
      <c r="B239" s="34"/>
    </row>
    <row r="240" spans="2:3" x14ac:dyDescent="0.3">
      <c r="B240" s="34" t="s">
        <v>240</v>
      </c>
    </row>
    <row r="242" spans="2:4" ht="18" x14ac:dyDescent="0.3">
      <c r="B242" s="33" t="s">
        <v>241</v>
      </c>
    </row>
    <row r="244" spans="2:4" x14ac:dyDescent="0.3">
      <c r="B244" t="s">
        <v>242</v>
      </c>
    </row>
    <row r="245" spans="2:4" x14ac:dyDescent="0.3">
      <c r="B245" s="34"/>
    </row>
    <row r="246" spans="2:4" x14ac:dyDescent="0.3">
      <c r="B246" s="34" t="s">
        <v>243</v>
      </c>
    </row>
    <row r="247" spans="2:4" x14ac:dyDescent="0.3">
      <c r="B247" s="34"/>
    </row>
    <row r="248" spans="2:4" x14ac:dyDescent="0.3">
      <c r="B248" s="34" t="s">
        <v>244</v>
      </c>
    </row>
    <row r="252" spans="2:4" ht="23.4" x14ac:dyDescent="0.3">
      <c r="B252" s="32" t="s">
        <v>245</v>
      </c>
    </row>
    <row r="254" spans="2:4" ht="28.8" x14ac:dyDescent="0.3">
      <c r="B254" s="36" t="s">
        <v>197</v>
      </c>
      <c r="C254" s="36" t="s">
        <v>246</v>
      </c>
      <c r="D254" s="36" t="s">
        <v>247</v>
      </c>
    </row>
    <row r="255" spans="2:4" ht="28.8" x14ac:dyDescent="0.3">
      <c r="B255" s="37" t="s">
        <v>248</v>
      </c>
      <c r="C255" s="45">
        <v>2000</v>
      </c>
      <c r="D255" s="37" t="s">
        <v>249</v>
      </c>
    </row>
    <row r="256" spans="2:4" ht="28.8" x14ac:dyDescent="0.3">
      <c r="B256" s="37" t="s">
        <v>250</v>
      </c>
      <c r="C256" s="45">
        <v>3500</v>
      </c>
      <c r="D256" s="37" t="s">
        <v>251</v>
      </c>
    </row>
    <row r="257" spans="2:4" ht="28.8" x14ac:dyDescent="0.3">
      <c r="B257" s="37" t="s">
        <v>252</v>
      </c>
      <c r="C257" s="45">
        <v>4000</v>
      </c>
      <c r="D257" s="37" t="s">
        <v>253</v>
      </c>
    </row>
    <row r="258" spans="2:4" x14ac:dyDescent="0.3">
      <c r="B258" s="34"/>
    </row>
    <row r="259" spans="2:4" x14ac:dyDescent="0.3">
      <c r="B259" s="34" t="s">
        <v>254</v>
      </c>
    </row>
    <row r="261" spans="2:4" x14ac:dyDescent="0.3">
      <c r="B261" t="s">
        <v>255</v>
      </c>
    </row>
    <row r="265" spans="2:4" ht="23.4" x14ac:dyDescent="0.3">
      <c r="B265" s="32" t="s">
        <v>256</v>
      </c>
    </row>
    <row r="267" spans="2:4" ht="28.8" x14ac:dyDescent="0.3">
      <c r="B267" s="36" t="s">
        <v>197</v>
      </c>
      <c r="C267" s="36" t="s">
        <v>246</v>
      </c>
      <c r="D267" s="36" t="s">
        <v>247</v>
      </c>
    </row>
    <row r="268" spans="2:4" ht="28.8" x14ac:dyDescent="0.3">
      <c r="B268" s="37" t="s">
        <v>248</v>
      </c>
      <c r="C268" s="45">
        <v>5000</v>
      </c>
      <c r="D268" s="37" t="s">
        <v>257</v>
      </c>
    </row>
    <row r="269" spans="2:4" ht="28.8" x14ac:dyDescent="0.3">
      <c r="B269" s="37" t="s">
        <v>250</v>
      </c>
      <c r="C269" s="45">
        <v>4000</v>
      </c>
      <c r="D269" s="37" t="s">
        <v>258</v>
      </c>
    </row>
    <row r="270" spans="2:4" ht="28.8" x14ac:dyDescent="0.3">
      <c r="B270" s="37" t="s">
        <v>252</v>
      </c>
      <c r="C270" s="45">
        <v>3500</v>
      </c>
      <c r="D270" s="37" t="s">
        <v>259</v>
      </c>
    </row>
    <row r="272" spans="2:4" ht="18" x14ac:dyDescent="0.3">
      <c r="B272" s="33" t="s">
        <v>260</v>
      </c>
    </row>
    <row r="273" spans="2:4" x14ac:dyDescent="0.3">
      <c r="B273" s="34"/>
    </row>
    <row r="274" spans="2:4" x14ac:dyDescent="0.3">
      <c r="B274" s="34" t="s">
        <v>261</v>
      </c>
    </row>
    <row r="276" spans="2:4" x14ac:dyDescent="0.3">
      <c r="B276" t="s">
        <v>262</v>
      </c>
    </row>
    <row r="277" spans="2:4" x14ac:dyDescent="0.3">
      <c r="B277" s="34"/>
    </row>
    <row r="278" spans="2:4" x14ac:dyDescent="0.3">
      <c r="B278" s="46" t="s">
        <v>263</v>
      </c>
    </row>
    <row r="282" spans="2:4" ht="23.4" x14ac:dyDescent="0.3">
      <c r="B282" s="32" t="s">
        <v>264</v>
      </c>
    </row>
    <row r="284" spans="2:4" x14ac:dyDescent="0.3">
      <c r="B284" s="36" t="s">
        <v>0</v>
      </c>
      <c r="C284" s="36" t="s">
        <v>265</v>
      </c>
      <c r="D284" s="36" t="s">
        <v>266</v>
      </c>
    </row>
    <row r="285" spans="2:4" ht="28.8" x14ac:dyDescent="0.3">
      <c r="B285" s="37" t="s">
        <v>267</v>
      </c>
      <c r="C285" s="37" t="s">
        <v>268</v>
      </c>
      <c r="D285" s="37" t="s">
        <v>269</v>
      </c>
    </row>
    <row r="286" spans="2:4" ht="28.8" x14ac:dyDescent="0.3">
      <c r="B286" s="37" t="s">
        <v>270</v>
      </c>
      <c r="C286" s="37" t="s">
        <v>268</v>
      </c>
      <c r="D286" s="37" t="s">
        <v>271</v>
      </c>
    </row>
    <row r="287" spans="2:4" ht="28.8" x14ac:dyDescent="0.3">
      <c r="B287" s="37" t="s">
        <v>272</v>
      </c>
      <c r="C287" s="37" t="s">
        <v>268</v>
      </c>
      <c r="D287" s="37" t="s">
        <v>273</v>
      </c>
    </row>
    <row r="295" spans="2:4" ht="23.4" x14ac:dyDescent="0.3">
      <c r="B295" s="32" t="s">
        <v>280</v>
      </c>
    </row>
    <row r="297" spans="2:4" ht="28.8" x14ac:dyDescent="0.3">
      <c r="B297" s="36" t="s">
        <v>281</v>
      </c>
      <c r="C297" s="36" t="s">
        <v>282</v>
      </c>
      <c r="D297" s="36" t="s">
        <v>1</v>
      </c>
    </row>
    <row r="298" spans="2:4" ht="28.8" x14ac:dyDescent="0.3">
      <c r="B298" s="37" t="s">
        <v>283</v>
      </c>
      <c r="C298" s="45">
        <v>4500</v>
      </c>
      <c r="D298" s="37" t="s">
        <v>284</v>
      </c>
    </row>
    <row r="299" spans="2:4" ht="28.8" x14ac:dyDescent="0.3">
      <c r="B299" s="37" t="s">
        <v>285</v>
      </c>
      <c r="C299" s="45">
        <v>500</v>
      </c>
      <c r="D299" s="37" t="s">
        <v>286</v>
      </c>
    </row>
    <row r="301" spans="2:4" x14ac:dyDescent="0.3">
      <c r="B301" t="s">
        <v>287</v>
      </c>
    </row>
    <row r="305" spans="2:4" ht="23.4" x14ac:dyDescent="0.3">
      <c r="B305" s="32" t="s">
        <v>288</v>
      </c>
    </row>
    <row r="307" spans="2:4" x14ac:dyDescent="0.3">
      <c r="B307" s="36" t="s">
        <v>197</v>
      </c>
      <c r="C307" s="36" t="s">
        <v>283</v>
      </c>
      <c r="D307" s="36" t="s">
        <v>285</v>
      </c>
    </row>
    <row r="308" spans="2:4" x14ac:dyDescent="0.3">
      <c r="B308" s="37" t="s">
        <v>289</v>
      </c>
      <c r="C308" s="37">
        <v>3</v>
      </c>
      <c r="D308" s="37">
        <v>5</v>
      </c>
    </row>
    <row r="310" spans="2:4" ht="18" x14ac:dyDescent="0.3">
      <c r="B310" s="33" t="s">
        <v>290</v>
      </c>
    </row>
    <row r="312" spans="2:4" x14ac:dyDescent="0.3">
      <c r="B312" s="39" t="s">
        <v>291</v>
      </c>
    </row>
    <row r="313" spans="2:4" x14ac:dyDescent="0.3">
      <c r="B313" s="34"/>
    </row>
    <row r="314" spans="2:4" x14ac:dyDescent="0.3">
      <c r="B314" s="34" t="s">
        <v>292</v>
      </c>
    </row>
    <row r="315" spans="2:4" x14ac:dyDescent="0.3">
      <c r="B315" s="34"/>
    </row>
    <row r="316" spans="2:4" x14ac:dyDescent="0.3">
      <c r="B316" s="34" t="s">
        <v>293</v>
      </c>
    </row>
    <row r="317" spans="2:4" x14ac:dyDescent="0.3">
      <c r="B317" s="34"/>
    </row>
    <row r="318" spans="2:4" x14ac:dyDescent="0.3">
      <c r="B318" s="34" t="s">
        <v>294</v>
      </c>
    </row>
    <row r="320" spans="2:4" x14ac:dyDescent="0.3">
      <c r="B320" s="39" t="s">
        <v>295</v>
      </c>
    </row>
    <row r="321" spans="2:2" x14ac:dyDescent="0.3">
      <c r="B321" s="34"/>
    </row>
    <row r="322" spans="2:2" x14ac:dyDescent="0.3">
      <c r="B322" s="34" t="s">
        <v>296</v>
      </c>
    </row>
    <row r="323" spans="2:2" x14ac:dyDescent="0.3">
      <c r="B323" s="34"/>
    </row>
    <row r="324" spans="2:2" x14ac:dyDescent="0.3">
      <c r="B324" s="34" t="s">
        <v>297</v>
      </c>
    </row>
    <row r="325" spans="2:2" x14ac:dyDescent="0.3">
      <c r="B325" s="34"/>
    </row>
    <row r="326" spans="2:2" x14ac:dyDescent="0.3">
      <c r="B326" s="34" t="s">
        <v>298</v>
      </c>
    </row>
    <row r="327" spans="2:2" x14ac:dyDescent="0.3">
      <c r="B327" s="34"/>
    </row>
    <row r="328" spans="2:2" x14ac:dyDescent="0.3">
      <c r="B328" s="34" t="s">
        <v>299</v>
      </c>
    </row>
    <row r="329" spans="2:2" x14ac:dyDescent="0.3">
      <c r="B329" s="34"/>
    </row>
    <row r="330" spans="2:2" x14ac:dyDescent="0.3">
      <c r="B330" s="34" t="s">
        <v>300</v>
      </c>
    </row>
    <row r="332" spans="2:2" x14ac:dyDescent="0.3">
      <c r="B332" t="s">
        <v>301</v>
      </c>
    </row>
    <row r="336" spans="2:2" ht="23.4" x14ac:dyDescent="0.3">
      <c r="B336" s="32" t="s">
        <v>302</v>
      </c>
    </row>
    <row r="338" spans="2:2" x14ac:dyDescent="0.3">
      <c r="B338" t="s">
        <v>303</v>
      </c>
    </row>
    <row r="342" spans="2:2" ht="18" x14ac:dyDescent="0.3">
      <c r="B342" s="33" t="s">
        <v>304</v>
      </c>
    </row>
    <row r="343" spans="2:2" x14ac:dyDescent="0.3">
      <c r="B343" s="34"/>
    </row>
    <row r="344" spans="2:2" x14ac:dyDescent="0.3">
      <c r="B344" s="35" t="s">
        <v>305</v>
      </c>
    </row>
    <row r="345" spans="2:2" x14ac:dyDescent="0.3">
      <c r="B345" s="35"/>
    </row>
    <row r="346" spans="2:2" x14ac:dyDescent="0.3">
      <c r="B346" s="35"/>
    </row>
    <row r="347" spans="2:2" x14ac:dyDescent="0.3">
      <c r="B347" s="35"/>
    </row>
    <row r="348" spans="2:2" x14ac:dyDescent="0.3">
      <c r="B348" s="35"/>
    </row>
    <row r="352" spans="2:2" x14ac:dyDescent="0.3">
      <c r="B352" s="39" t="s">
        <v>306</v>
      </c>
    </row>
    <row r="353" spans="2:2" x14ac:dyDescent="0.3">
      <c r="B353" s="34"/>
    </row>
    <row r="354" spans="2:2" x14ac:dyDescent="0.3">
      <c r="B354" s="34" t="s">
        <v>307</v>
      </c>
    </row>
    <row r="355" spans="2:2" x14ac:dyDescent="0.3">
      <c r="B355" s="34"/>
    </row>
    <row r="356" spans="2:2" x14ac:dyDescent="0.3">
      <c r="B356" s="34" t="s">
        <v>308</v>
      </c>
    </row>
    <row r="361" spans="2:2" ht="18" x14ac:dyDescent="0.3">
      <c r="B361" s="33" t="s">
        <v>309</v>
      </c>
    </row>
    <row r="362" spans="2:2" x14ac:dyDescent="0.3">
      <c r="B362" s="34"/>
    </row>
    <row r="363" spans="2:2" x14ac:dyDescent="0.3">
      <c r="B363" s="35" t="s">
        <v>305</v>
      </c>
    </row>
    <row r="364" spans="2:2" x14ac:dyDescent="0.3">
      <c r="B364" s="35"/>
    </row>
    <row r="365" spans="2:2" x14ac:dyDescent="0.3">
      <c r="B365" s="35"/>
    </row>
    <row r="366" spans="2:2" x14ac:dyDescent="0.3">
      <c r="B366" s="35"/>
    </row>
    <row r="370" spans="2:2" x14ac:dyDescent="0.3">
      <c r="B370" t="s">
        <v>310</v>
      </c>
    </row>
    <row r="371" spans="2:2" x14ac:dyDescent="0.3">
      <c r="B371" s="34"/>
    </row>
    <row r="372" spans="2:2" x14ac:dyDescent="0.3">
      <c r="B372" s="34" t="s">
        <v>311</v>
      </c>
    </row>
    <row r="374" spans="2:2" x14ac:dyDescent="0.3">
      <c r="B374" t="s">
        <v>333</v>
      </c>
    </row>
    <row r="376" spans="2:2" x14ac:dyDescent="0.3">
      <c r="B376" t="s">
        <v>312</v>
      </c>
    </row>
    <row r="377" spans="2:2" x14ac:dyDescent="0.3">
      <c r="B377" s="34"/>
    </row>
    <row r="378" spans="2:2" x14ac:dyDescent="0.3">
      <c r="B378" s="34" t="s">
        <v>334</v>
      </c>
    </row>
    <row r="379" spans="2:2" x14ac:dyDescent="0.3">
      <c r="B379" s="34"/>
    </row>
    <row r="380" spans="2:2" x14ac:dyDescent="0.3">
      <c r="B380" s="34" t="s">
        <v>335</v>
      </c>
    </row>
    <row r="384" spans="2:2" ht="23.4" x14ac:dyDescent="0.3">
      <c r="B384" s="32" t="s">
        <v>313</v>
      </c>
    </row>
    <row r="386" spans="2:5" ht="72" x14ac:dyDescent="0.3">
      <c r="B386" s="36" t="s">
        <v>314</v>
      </c>
      <c r="C386" s="36" t="s">
        <v>315</v>
      </c>
      <c r="D386" s="36" t="s">
        <v>316</v>
      </c>
      <c r="E386" s="36" t="s">
        <v>317</v>
      </c>
    </row>
    <row r="387" spans="2:5" x14ac:dyDescent="0.3">
      <c r="B387" s="37" t="s">
        <v>318</v>
      </c>
      <c r="C387" s="38">
        <v>5</v>
      </c>
      <c r="D387" s="38">
        <v>20</v>
      </c>
      <c r="E387" s="38">
        <v>50</v>
      </c>
    </row>
    <row r="388" spans="2:5" x14ac:dyDescent="0.3">
      <c r="B388" s="37" t="s">
        <v>274</v>
      </c>
      <c r="C388" s="38" t="s">
        <v>319</v>
      </c>
      <c r="D388" s="38" t="s">
        <v>320</v>
      </c>
      <c r="E388" s="38" t="s">
        <v>321</v>
      </c>
    </row>
    <row r="389" spans="2:5" x14ac:dyDescent="0.3">
      <c r="B389" s="37" t="s">
        <v>275</v>
      </c>
      <c r="C389" s="38">
        <v>2</v>
      </c>
      <c r="D389" s="38">
        <v>10</v>
      </c>
      <c r="E389" s="38">
        <v>30</v>
      </c>
    </row>
    <row r="390" spans="2:5" x14ac:dyDescent="0.3">
      <c r="B390" s="37" t="s">
        <v>322</v>
      </c>
      <c r="C390" s="38">
        <v>5</v>
      </c>
      <c r="D390" s="38" t="s">
        <v>323</v>
      </c>
      <c r="E390" s="38" t="s">
        <v>320</v>
      </c>
    </row>
    <row r="391" spans="2:5" ht="28.8" x14ac:dyDescent="0.3">
      <c r="B391" s="37" t="s">
        <v>324</v>
      </c>
      <c r="C391" s="38">
        <v>3</v>
      </c>
      <c r="D391" s="38">
        <v>3</v>
      </c>
      <c r="E391" s="38">
        <v>3</v>
      </c>
    </row>
    <row r="394" spans="2:5" ht="23.4" x14ac:dyDescent="0.3">
      <c r="B394" s="32" t="s">
        <v>325</v>
      </c>
    </row>
    <row r="396" spans="2:5" x14ac:dyDescent="0.3">
      <c r="B396" s="36" t="s">
        <v>197</v>
      </c>
      <c r="C396" s="36" t="s">
        <v>326</v>
      </c>
      <c r="D396" s="36" t="s">
        <v>327</v>
      </c>
    </row>
    <row r="397" spans="2:5" ht="28.8" x14ac:dyDescent="0.3">
      <c r="B397" s="37" t="s">
        <v>248</v>
      </c>
      <c r="C397" s="37" t="s">
        <v>328</v>
      </c>
      <c r="D397" s="37" t="s">
        <v>329</v>
      </c>
    </row>
    <row r="398" spans="2:5" ht="28.8" x14ac:dyDescent="0.3">
      <c r="B398" s="37" t="s">
        <v>250</v>
      </c>
      <c r="C398" s="37" t="s">
        <v>330</v>
      </c>
      <c r="D398" s="37" t="s">
        <v>331</v>
      </c>
    </row>
    <row r="399" spans="2:5" ht="28.8" x14ac:dyDescent="0.3">
      <c r="B399" s="37" t="s">
        <v>252</v>
      </c>
      <c r="C399" s="37" t="s">
        <v>332</v>
      </c>
      <c r="D399" s="37" t="s">
        <v>331</v>
      </c>
    </row>
    <row r="404" spans="2:3" ht="23.4" x14ac:dyDescent="0.3">
      <c r="B404" s="32" t="s">
        <v>337</v>
      </c>
    </row>
    <row r="406" spans="2:3" x14ac:dyDescent="0.3">
      <c r="B406" s="36" t="s">
        <v>338</v>
      </c>
      <c r="C406" s="36" t="s">
        <v>339</v>
      </c>
    </row>
    <row r="407" spans="2:3" ht="43.2" x14ac:dyDescent="0.3">
      <c r="B407" s="38" t="s">
        <v>340</v>
      </c>
      <c r="C407" s="37" t="s">
        <v>341</v>
      </c>
    </row>
    <row r="408" spans="2:3" ht="28.8" x14ac:dyDescent="0.3">
      <c r="B408" s="38" t="s">
        <v>342</v>
      </c>
      <c r="C408" s="37" t="s">
        <v>343</v>
      </c>
    </row>
    <row r="409" spans="2:3" ht="43.2" x14ac:dyDescent="0.3">
      <c r="B409" s="38" t="s">
        <v>344</v>
      </c>
      <c r="C409" s="37" t="s">
        <v>345</v>
      </c>
    </row>
    <row r="410" spans="2:3" ht="72" x14ac:dyDescent="0.3">
      <c r="B410" s="38" t="s">
        <v>346</v>
      </c>
      <c r="C410" s="37" t="s">
        <v>347</v>
      </c>
    </row>
    <row r="411" spans="2:3" ht="72" x14ac:dyDescent="0.3">
      <c r="B411" s="38" t="s">
        <v>348</v>
      </c>
      <c r="C411" s="37" t="s">
        <v>349</v>
      </c>
    </row>
    <row r="414" spans="2:3" ht="23.4" x14ac:dyDescent="0.3">
      <c r="B414" s="32" t="s">
        <v>350</v>
      </c>
    </row>
    <row r="416" spans="2:3" x14ac:dyDescent="0.3">
      <c r="B416" t="s">
        <v>351</v>
      </c>
    </row>
    <row r="417" spans="2:2" x14ac:dyDescent="0.3">
      <c r="B417" s="34"/>
    </row>
    <row r="418" spans="2:2" x14ac:dyDescent="0.3">
      <c r="B418" s="34" t="s">
        <v>352</v>
      </c>
    </row>
    <row r="419" spans="2:2" x14ac:dyDescent="0.3">
      <c r="B419" s="34"/>
    </row>
    <row r="420" spans="2:2" x14ac:dyDescent="0.3">
      <c r="B420" s="34" t="s">
        <v>353</v>
      </c>
    </row>
    <row r="422" spans="2:2" x14ac:dyDescent="0.3">
      <c r="B422" t="s">
        <v>354</v>
      </c>
    </row>
    <row r="424" spans="2:2" x14ac:dyDescent="0.3">
      <c r="B424" t="s">
        <v>355</v>
      </c>
    </row>
    <row r="426" spans="2:2" x14ac:dyDescent="0.3">
      <c r="B426" t="s">
        <v>356</v>
      </c>
    </row>
    <row r="428" spans="2:2" x14ac:dyDescent="0.3">
      <c r="B428" t="s">
        <v>357</v>
      </c>
    </row>
    <row r="430" spans="2:2" x14ac:dyDescent="0.3">
      <c r="B430" t="s">
        <v>312</v>
      </c>
    </row>
    <row r="431" spans="2:2" x14ac:dyDescent="0.3">
      <c r="B431" s="34"/>
    </row>
    <row r="432" spans="2:2" x14ac:dyDescent="0.3">
      <c r="B432" s="35" t="s">
        <v>358</v>
      </c>
    </row>
    <row r="433" spans="2:3" x14ac:dyDescent="0.3">
      <c r="B433" s="34"/>
    </row>
    <row r="434" spans="2:3" x14ac:dyDescent="0.3">
      <c r="B434" s="34" t="s">
        <v>359</v>
      </c>
    </row>
    <row r="435" spans="2:3" x14ac:dyDescent="0.3">
      <c r="B435" s="34"/>
    </row>
    <row r="436" spans="2:3" x14ac:dyDescent="0.3">
      <c r="B436" s="34" t="s">
        <v>360</v>
      </c>
    </row>
    <row r="440" spans="2:3" ht="23.4" x14ac:dyDescent="0.3">
      <c r="B440" s="32" t="s">
        <v>361</v>
      </c>
    </row>
    <row r="442" spans="2:3" ht="28.8" x14ac:dyDescent="0.3">
      <c r="B442" s="36" t="s">
        <v>362</v>
      </c>
      <c r="C442" s="36" t="s">
        <v>363</v>
      </c>
    </row>
    <row r="443" spans="2:3" ht="28.8" x14ac:dyDescent="0.3">
      <c r="B443" s="37" t="s">
        <v>154</v>
      </c>
      <c r="C443" s="38" t="s">
        <v>364</v>
      </c>
    </row>
    <row r="444" spans="2:3" ht="43.2" x14ac:dyDescent="0.3">
      <c r="B444" s="37" t="s">
        <v>365</v>
      </c>
      <c r="C444" s="38" t="s">
        <v>366</v>
      </c>
    </row>
    <row r="445" spans="2:3" ht="43.2" x14ac:dyDescent="0.3">
      <c r="B445" s="37" t="s">
        <v>367</v>
      </c>
      <c r="C445" s="38" t="s">
        <v>368</v>
      </c>
    </row>
    <row r="448" spans="2:3" x14ac:dyDescent="0.3">
      <c r="B448" t="s">
        <v>369</v>
      </c>
    </row>
    <row r="449" spans="2:2" x14ac:dyDescent="0.3">
      <c r="B449" s="34"/>
    </row>
    <row r="450" spans="2:2" x14ac:dyDescent="0.3">
      <c r="B450" s="34" t="s">
        <v>370</v>
      </c>
    </row>
    <row r="451" spans="2:2" x14ac:dyDescent="0.3">
      <c r="B451" s="34"/>
    </row>
    <row r="452" spans="2:2" x14ac:dyDescent="0.3">
      <c r="B452" s="34" t="s">
        <v>371</v>
      </c>
    </row>
    <row r="459" spans="2:2" ht="23.4" x14ac:dyDescent="0.3">
      <c r="B459" s="32" t="s">
        <v>372</v>
      </c>
    </row>
    <row r="461" spans="2:2" ht="18" x14ac:dyDescent="0.3">
      <c r="B461" s="33" t="s">
        <v>373</v>
      </c>
    </row>
    <row r="463" spans="2:2" x14ac:dyDescent="0.3">
      <c r="B463" t="s">
        <v>374</v>
      </c>
    </row>
    <row r="465" spans="2:2" x14ac:dyDescent="0.3">
      <c r="B465" t="s">
        <v>375</v>
      </c>
    </row>
    <row r="466" spans="2:2" x14ac:dyDescent="0.3">
      <c r="B466" s="34"/>
    </row>
    <row r="467" spans="2:2" x14ac:dyDescent="0.3">
      <c r="B467" s="34" t="s">
        <v>376</v>
      </c>
    </row>
    <row r="468" spans="2:2" x14ac:dyDescent="0.3">
      <c r="B468" s="34"/>
    </row>
    <row r="469" spans="2:2" x14ac:dyDescent="0.3">
      <c r="B469" s="34" t="s">
        <v>377</v>
      </c>
    </row>
    <row r="473" spans="2:2" ht="18" x14ac:dyDescent="0.3">
      <c r="B473" s="33" t="s">
        <v>378</v>
      </c>
    </row>
    <row r="475" spans="2:2" x14ac:dyDescent="0.3">
      <c r="B475" t="s">
        <v>379</v>
      </c>
    </row>
    <row r="476" spans="2:2" x14ac:dyDescent="0.3">
      <c r="B476" s="34"/>
    </row>
    <row r="477" spans="2:2" x14ac:dyDescent="0.3">
      <c r="B477" s="35" t="s">
        <v>380</v>
      </c>
    </row>
    <row r="478" spans="2:2" x14ac:dyDescent="0.3">
      <c r="B478" s="34"/>
    </row>
    <row r="479" spans="2:2" x14ac:dyDescent="0.3">
      <c r="B479" s="34" t="s">
        <v>381</v>
      </c>
    </row>
    <row r="480" spans="2:2" x14ac:dyDescent="0.3">
      <c r="B480" s="34"/>
    </row>
    <row r="481" spans="2:2" x14ac:dyDescent="0.3">
      <c r="B481" s="34" t="s">
        <v>382</v>
      </c>
    </row>
    <row r="483" spans="2:2" x14ac:dyDescent="0.3">
      <c r="B483" s="39" t="s">
        <v>383</v>
      </c>
    </row>
    <row r="484" spans="2:2" x14ac:dyDescent="0.3">
      <c r="B484" s="34"/>
    </row>
    <row r="485" spans="2:2" x14ac:dyDescent="0.3">
      <c r="B485" s="35" t="s">
        <v>384</v>
      </c>
    </row>
    <row r="487" spans="2:2" x14ac:dyDescent="0.3">
      <c r="B487" t="s">
        <v>385</v>
      </c>
    </row>
    <row r="489" spans="2:2" x14ac:dyDescent="0.3">
      <c r="B489" t="s">
        <v>306</v>
      </c>
    </row>
    <row r="490" spans="2:2" x14ac:dyDescent="0.3">
      <c r="B490" s="34"/>
    </row>
    <row r="491" spans="2:2" x14ac:dyDescent="0.3">
      <c r="B491" s="35" t="s">
        <v>386</v>
      </c>
    </row>
    <row r="492" spans="2:2" x14ac:dyDescent="0.3">
      <c r="B492" s="34"/>
    </row>
    <row r="493" spans="2:2" x14ac:dyDescent="0.3">
      <c r="B493" s="35" t="s">
        <v>308</v>
      </c>
    </row>
    <row r="495" spans="2:2" x14ac:dyDescent="0.3">
      <c r="B495" t="s">
        <v>387</v>
      </c>
    </row>
    <row r="497" spans="2:2" x14ac:dyDescent="0.3">
      <c r="B497" t="s">
        <v>388</v>
      </c>
    </row>
    <row r="498" spans="2:2" x14ac:dyDescent="0.3">
      <c r="B498" s="34"/>
    </row>
    <row r="499" spans="2:2" x14ac:dyDescent="0.3">
      <c r="B499" s="34" t="s">
        <v>389</v>
      </c>
    </row>
    <row r="500" spans="2:2" x14ac:dyDescent="0.3">
      <c r="B500" s="34"/>
    </row>
    <row r="501" spans="2:2" x14ac:dyDescent="0.3">
      <c r="B501" s="34" t="s">
        <v>390</v>
      </c>
    </row>
    <row r="502" spans="2:2" x14ac:dyDescent="0.3">
      <c r="B502" s="34"/>
    </row>
    <row r="503" spans="2:2" x14ac:dyDescent="0.3">
      <c r="B503" s="34"/>
    </row>
    <row r="504" spans="2:2" x14ac:dyDescent="0.3">
      <c r="B504" s="49"/>
    </row>
    <row r="505" spans="2:2" x14ac:dyDescent="0.3">
      <c r="B505" s="50" t="s">
        <v>391</v>
      </c>
    </row>
    <row r="506" spans="2:2" x14ac:dyDescent="0.3">
      <c r="B506" s="49"/>
    </row>
    <row r="507" spans="2:2" x14ac:dyDescent="0.3">
      <c r="B507" s="50" t="s">
        <v>392</v>
      </c>
    </row>
    <row r="508" spans="2:2" x14ac:dyDescent="0.3">
      <c r="B508" s="49"/>
    </row>
    <row r="509" spans="2:2" x14ac:dyDescent="0.3">
      <c r="B509" s="50" t="s">
        <v>393</v>
      </c>
    </row>
    <row r="511" spans="2:2" x14ac:dyDescent="0.3">
      <c r="B511" t="s">
        <v>394</v>
      </c>
    </row>
    <row r="512" spans="2:2" x14ac:dyDescent="0.3">
      <c r="B512" s="34"/>
    </row>
    <row r="513" spans="2:2" x14ac:dyDescent="0.3">
      <c r="B513" s="35" t="s">
        <v>395</v>
      </c>
    </row>
    <row r="514" spans="2:2" x14ac:dyDescent="0.3">
      <c r="B514" s="34"/>
    </row>
    <row r="515" spans="2:2" x14ac:dyDescent="0.3">
      <c r="B515" s="34" t="s">
        <v>396</v>
      </c>
    </row>
    <row r="519" spans="2:2" ht="23.4" x14ac:dyDescent="0.3">
      <c r="B519" s="32" t="s">
        <v>397</v>
      </c>
    </row>
    <row r="521" spans="2:2" x14ac:dyDescent="0.3">
      <c r="B521" t="s">
        <v>398</v>
      </c>
    </row>
    <row r="522" spans="2:2" x14ac:dyDescent="0.3">
      <c r="B522" s="34"/>
    </row>
    <row r="523" spans="2:2" x14ac:dyDescent="0.3">
      <c r="B523" s="34" t="s">
        <v>399</v>
      </c>
    </row>
    <row r="524" spans="2:2" x14ac:dyDescent="0.3">
      <c r="B524" s="34"/>
    </row>
    <row r="525" spans="2:2" x14ac:dyDescent="0.3">
      <c r="B525" s="34" t="s">
        <v>400</v>
      </c>
    </row>
    <row r="526" spans="2:2" x14ac:dyDescent="0.3">
      <c r="B526" s="34"/>
    </row>
    <row r="527" spans="2:2" x14ac:dyDescent="0.3">
      <c r="B527" s="34" t="s">
        <v>401</v>
      </c>
    </row>
    <row r="529" spans="2:2" ht="18" x14ac:dyDescent="0.3">
      <c r="B529" s="33" t="s">
        <v>378</v>
      </c>
    </row>
    <row r="531" spans="2:2" x14ac:dyDescent="0.3">
      <c r="B531" t="s">
        <v>402</v>
      </c>
    </row>
    <row r="532" spans="2:2" x14ac:dyDescent="0.3">
      <c r="B532" s="34"/>
    </row>
    <row r="533" spans="2:2" x14ac:dyDescent="0.3">
      <c r="B533" s="35" t="s">
        <v>403</v>
      </c>
    </row>
    <row r="534" spans="2:2" x14ac:dyDescent="0.3">
      <c r="B534" s="34"/>
    </row>
    <row r="535" spans="2:2" x14ac:dyDescent="0.3">
      <c r="B535" s="35" t="s">
        <v>404</v>
      </c>
    </row>
    <row r="537" spans="2:2" x14ac:dyDescent="0.3">
      <c r="B537" t="s">
        <v>405</v>
      </c>
    </row>
    <row r="538" spans="2:2" x14ac:dyDescent="0.3">
      <c r="B538" s="34"/>
    </row>
    <row r="539" spans="2:2" x14ac:dyDescent="0.3">
      <c r="B539" s="35" t="s">
        <v>406</v>
      </c>
    </row>
    <row r="540" spans="2:2" x14ac:dyDescent="0.3">
      <c r="B540" s="35" t="s">
        <v>407</v>
      </c>
    </row>
    <row r="542" spans="2:2" x14ac:dyDescent="0.3">
      <c r="B542" t="s">
        <v>312</v>
      </c>
    </row>
    <row r="544" spans="2:2" x14ac:dyDescent="0.3">
      <c r="B544" t="s">
        <v>408</v>
      </c>
    </row>
    <row r="546" spans="2:4" x14ac:dyDescent="0.3">
      <c r="B546" t="s">
        <v>409</v>
      </c>
    </row>
    <row r="547" spans="2:4" x14ac:dyDescent="0.3">
      <c r="B547" s="34"/>
    </row>
    <row r="548" spans="2:4" x14ac:dyDescent="0.3">
      <c r="B548" s="34" t="s">
        <v>410</v>
      </c>
    </row>
    <row r="549" spans="2:4" x14ac:dyDescent="0.3">
      <c r="B549" s="34"/>
    </row>
    <row r="550" spans="2:4" x14ac:dyDescent="0.3">
      <c r="B550" s="34" t="s">
        <v>411</v>
      </c>
    </row>
    <row r="551" spans="2:4" x14ac:dyDescent="0.3">
      <c r="B551" s="34"/>
    </row>
    <row r="552" spans="2:4" x14ac:dyDescent="0.3">
      <c r="B552" s="34" t="s">
        <v>412</v>
      </c>
    </row>
    <row r="556" spans="2:4" ht="23.4" x14ac:dyDescent="0.3">
      <c r="B556" s="32" t="s">
        <v>413</v>
      </c>
    </row>
    <row r="558" spans="2:4" x14ac:dyDescent="0.3">
      <c r="B558" s="36" t="s">
        <v>314</v>
      </c>
      <c r="C558" s="36" t="s">
        <v>414</v>
      </c>
      <c r="D558" s="36" t="s">
        <v>415</v>
      </c>
    </row>
    <row r="559" spans="2:4" ht="28.8" x14ac:dyDescent="0.3">
      <c r="B559" s="38" t="s">
        <v>318</v>
      </c>
      <c r="C559" s="37" t="s">
        <v>416</v>
      </c>
      <c r="D559" s="37" t="s">
        <v>417</v>
      </c>
    </row>
    <row r="560" spans="2:4" ht="28.8" x14ac:dyDescent="0.3">
      <c r="B560" s="38" t="s">
        <v>418</v>
      </c>
      <c r="C560" s="37" t="s">
        <v>416</v>
      </c>
      <c r="D560" s="37" t="s">
        <v>419</v>
      </c>
    </row>
    <row r="561" spans="2:4" ht="28.8" x14ac:dyDescent="0.3">
      <c r="B561" s="38" t="s">
        <v>420</v>
      </c>
      <c r="C561" s="37" t="s">
        <v>421</v>
      </c>
      <c r="D561" s="37" t="s">
        <v>422</v>
      </c>
    </row>
    <row r="564" spans="2:4" ht="23.4" x14ac:dyDescent="0.3">
      <c r="B564" s="32" t="s">
        <v>423</v>
      </c>
    </row>
    <row r="565" spans="2:4" x14ac:dyDescent="0.3">
      <c r="B565" s="34"/>
    </row>
    <row r="566" spans="2:4" x14ac:dyDescent="0.3">
      <c r="B566" s="34" t="s">
        <v>424</v>
      </c>
    </row>
    <row r="570" spans="2:4" x14ac:dyDescent="0.3">
      <c r="B570" t="s">
        <v>425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Assumptions</vt:lpstr>
      <vt:lpstr>36-month forecast</vt:lpstr>
      <vt:lpstr>Impact Tracker</vt:lpstr>
      <vt:lpstr>5-year projection</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Aldo Mendoza Lozano</cp:lastModifiedBy>
  <dcterms:created xsi:type="dcterms:W3CDTF">2025-06-01T14:27:14Z</dcterms:created>
  <dcterms:modified xsi:type="dcterms:W3CDTF">2025-06-03T14:36:03Z</dcterms:modified>
</cp:coreProperties>
</file>